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A:\1-JAPONVAR\JAP-0275- PAVIMENTAÇÃO- CALÇAMENTO DA ESTRADA DA RUA BRASÍLIA À COMUNIDADE DE PAU PRETO\PLANILHA\"/>
    </mc:Choice>
  </mc:AlternateContent>
  <xr:revisionPtr revIDLastSave="0" documentId="13_ncr:1_{7C6604A3-D748-4353-99CE-592B8CAC82D8}" xr6:coauthVersionLast="47" xr6:coauthVersionMax="47" xr10:uidLastSave="{00000000-0000-0000-0000-000000000000}"/>
  <bookViews>
    <workbookView xWindow="28680" yWindow="-120" windowWidth="29040" windowHeight="15720" xr2:uid="{30085570-6823-4111-9FCB-B328AF803E61}"/>
  </bookViews>
  <sheets>
    <sheet name="MEMÓRIA CAL." sheetId="1" r:id="rId1"/>
    <sheet name="ORÇAMENTO" sheetId="6" r:id="rId2"/>
    <sheet name="BDI" sheetId="8" r:id="rId3"/>
    <sheet name="CRONOGRAMA" sheetId="7" r:id="rId4"/>
    <sheet name="MOB-DESMOB" sheetId="2" state="hidden" r:id="rId5"/>
  </sheets>
  <definedNames>
    <definedName name="_xlnm.Print_Area" localSheetId="3">CRONOGRAMA!$A$1:$I$24</definedName>
    <definedName name="_xlnm.Print_Area" localSheetId="0">'MEMÓRIA CAL.'!$A$1:$K$50</definedName>
    <definedName name="_xlnm.Print_Area" localSheetId="4">'MOB-DESMOB'!$A$1:$M$46</definedName>
    <definedName name="_xlnm.Print_Area" localSheetId="1">ORÇAMENTO!$A$1:$J$23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7" l="1"/>
  <c r="B3" i="7"/>
  <c r="B2" i="7"/>
  <c r="B3" i="1"/>
  <c r="B2" i="1"/>
  <c r="B7" i="8"/>
  <c r="B6" i="8"/>
  <c r="B5" i="8"/>
  <c r="C41" i="8"/>
  <c r="C40" i="8"/>
  <c r="H46" i="2" l="1"/>
  <c r="H45" i="2"/>
  <c r="B24" i="7"/>
  <c r="B23" i="7"/>
  <c r="B49" i="1"/>
  <c r="B48" i="1"/>
  <c r="D29" i="1"/>
  <c r="J29" i="1" s="1"/>
  <c r="A29" i="1"/>
  <c r="A36" i="1" s="1"/>
  <c r="A43" i="1" s="1"/>
  <c r="J20" i="1"/>
  <c r="C13" i="7"/>
  <c r="D12" i="7"/>
  <c r="H11" i="7"/>
  <c r="F12" i="7" s="1"/>
  <c r="D10" i="7"/>
  <c r="H9" i="7"/>
  <c r="F10" i="7" s="1"/>
  <c r="F13" i="7" s="1"/>
  <c r="G8" i="7"/>
  <c r="F8" i="7"/>
  <c r="E8" i="7"/>
  <c r="D8" i="7"/>
  <c r="H7" i="7"/>
  <c r="G13" i="6"/>
  <c r="G14" i="6"/>
  <c r="H14" i="6" s="1"/>
  <c r="G11" i="6"/>
  <c r="H11" i="6" s="1"/>
  <c r="H13" i="6"/>
  <c r="A28" i="1"/>
  <c r="A35" i="1" s="1"/>
  <c r="A42" i="1" s="1"/>
  <c r="I9" i="6"/>
  <c r="I8" i="6" s="1"/>
  <c r="H15" i="6"/>
  <c r="H9" i="6"/>
  <c r="J9" i="6" s="1"/>
  <c r="D42" i="1"/>
  <c r="D28" i="1"/>
  <c r="D35" i="1" s="1"/>
  <c r="J5" i="6"/>
  <c r="G8" i="6"/>
  <c r="D13" i="7" l="1"/>
  <c r="D14" i="7" s="1"/>
  <c r="D36" i="1"/>
  <c r="J36" i="1" s="1"/>
  <c r="E10" i="7"/>
  <c r="G10" i="7" s="1"/>
  <c r="H10" i="7" s="1"/>
  <c r="E12" i="7"/>
  <c r="H8" i="7"/>
  <c r="J8" i="6"/>
  <c r="M33" i="2"/>
  <c r="P33" i="2" s="1"/>
  <c r="Q33" i="2" s="1"/>
  <c r="M34" i="2"/>
  <c r="P34" i="2" s="1"/>
  <c r="Q34" i="2" s="1"/>
  <c r="M32" i="2"/>
  <c r="M21" i="2"/>
  <c r="P21" i="2" s="1"/>
  <c r="Q21" i="2" s="1"/>
  <c r="M20" i="2"/>
  <c r="P20" i="2" s="1"/>
  <c r="Q20" i="2" s="1"/>
  <c r="M19" i="2"/>
  <c r="P19" i="2" s="1"/>
  <c r="Q19" i="2" s="1"/>
  <c r="M18" i="2"/>
  <c r="P18" i="2" s="1"/>
  <c r="Q18" i="2" s="1"/>
  <c r="M17" i="2"/>
  <c r="P17" i="2" s="1"/>
  <c r="Q17" i="2" s="1"/>
  <c r="M16" i="2"/>
  <c r="P16" i="2" s="1"/>
  <c r="Q16" i="2" s="1"/>
  <c r="M15" i="2"/>
  <c r="P15" i="2" s="1"/>
  <c r="Q15" i="2" s="1"/>
  <c r="M14" i="2"/>
  <c r="P14" i="2" s="1"/>
  <c r="Q14" i="2" s="1"/>
  <c r="M13" i="2"/>
  <c r="P13" i="2" s="1"/>
  <c r="Q13" i="2" s="1"/>
  <c r="M12" i="2"/>
  <c r="P12" i="2" s="1"/>
  <c r="Q12" i="2" s="1"/>
  <c r="M11" i="2"/>
  <c r="P11" i="2" s="1"/>
  <c r="Q11" i="2" s="1"/>
  <c r="M10" i="2"/>
  <c r="P10" i="2" s="1"/>
  <c r="Q10" i="2" s="1"/>
  <c r="E13" i="7" l="1"/>
  <c r="E14" i="7" s="1"/>
  <c r="F14" i="7" s="1"/>
  <c r="G12" i="7"/>
  <c r="G13" i="7" s="1"/>
  <c r="M35" i="2"/>
  <c r="M37" i="2" s="1"/>
  <c r="M39" i="2" s="1"/>
  <c r="P32" i="2"/>
  <c r="Q32" i="2" s="1"/>
  <c r="Q35" i="2" s="1"/>
  <c r="Q22" i="2"/>
  <c r="M22" i="2"/>
  <c r="M24" i="2" s="1"/>
  <c r="M26" i="2" s="1"/>
  <c r="G14" i="7" l="1"/>
  <c r="H13" i="7" s="1"/>
  <c r="H12" i="7"/>
  <c r="Q44" i="2"/>
  <c r="J11" i="1"/>
  <c r="J43" i="1"/>
  <c r="J42" i="1"/>
  <c r="J35" i="1"/>
  <c r="J37" i="1" s="1"/>
  <c r="J28" i="1"/>
  <c r="J30" i="1" s="1"/>
  <c r="J19" i="1"/>
  <c r="J21" i="1" s="1"/>
  <c r="K4" i="1"/>
  <c r="J44" i="1" l="1"/>
  <c r="F15" i="6" s="1"/>
  <c r="F14" i="6"/>
  <c r="F13" i="6"/>
  <c r="F11" i="6"/>
  <c r="J13" i="6" l="1"/>
  <c r="G12" i="6"/>
  <c r="I13" i="6"/>
  <c r="J14" i="6"/>
  <c r="I14" i="6"/>
  <c r="I11" i="6"/>
  <c r="I10" i="6" s="1"/>
  <c r="G10" i="6"/>
  <c r="J11" i="6"/>
  <c r="J10" i="6" s="1"/>
  <c r="I15" i="6"/>
  <c r="J15" i="6"/>
  <c r="J12" i="1"/>
  <c r="J12" i="6" l="1"/>
  <c r="I12" i="6"/>
  <c r="J16" i="6" l="1"/>
  <c r="J17" i="6"/>
  <c r="J18" i="6" l="1"/>
</calcChain>
</file>

<file path=xl/sharedStrings.xml><?xml version="1.0" encoding="utf-8"?>
<sst xmlns="http://schemas.openxmlformats.org/spreadsheetml/2006/main" count="261" uniqueCount="155">
  <si>
    <t>MEMÓRIA DE CÁLCULO</t>
  </si>
  <si>
    <t>OBRA:</t>
  </si>
  <si>
    <t>LOCAL:</t>
  </si>
  <si>
    <t>SERVIÇOS PRELIMINARES</t>
  </si>
  <si>
    <t xml:space="preserve">DESCRIÇÃO: </t>
  </si>
  <si>
    <t>CÓDIGO:</t>
  </si>
  <si>
    <t>LOCALIZAÇÃO</t>
  </si>
  <si>
    <t>DESCRIÇÃO</t>
  </si>
  <si>
    <t>Repet.</t>
  </si>
  <si>
    <t>Área Total (m²)</t>
  </si>
  <si>
    <t>OBS:</t>
  </si>
  <si>
    <t>TOTAL</t>
  </si>
  <si>
    <t>DATA BASE:</t>
  </si>
  <si>
    <t>DATA:</t>
  </si>
  <si>
    <t>1.</t>
  </si>
  <si>
    <t>2.1</t>
  </si>
  <si>
    <t>Comprimento (m)</t>
  </si>
  <si>
    <t>2.2</t>
  </si>
  <si>
    <t>Área (m²)</t>
  </si>
  <si>
    <t>EXECUÇÃO DE PAVIMENTO EM PISO INTERTRAVADO, COM BLOCO SEXTAVADO DE 25 X 25 CM, ESPESSURA 8 CM.</t>
  </si>
  <si>
    <t>2.3</t>
  </si>
  <si>
    <t>MEIO-FIO E DRENAGEM SUPERFICIAL</t>
  </si>
  <si>
    <t>ASSENTAMENTO DE GUIA (MEIO-FIO) EM TRECHO RETO, CONFECCIONADA EM CONCRETO PRÉ-FABRICADO, DIMENSÕES 100X15X13X30 CM (COMPRIMENTO X BASE INFERIOR X BASE SUPERIOR X ALTURA), PARA VIAS URBANAS (USO VIÁRIO).</t>
  </si>
  <si>
    <t>Comprimento total (m)</t>
  </si>
  <si>
    <t>MEIO FIO DE TRAVAMENTO</t>
  </si>
  <si>
    <t>Unidade (un)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</si>
  <si>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</si>
  <si>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CALÇAMENTO EM BLOCO SEXTAVADO</t>
  </si>
  <si>
    <t>PROPR.:</t>
  </si>
  <si>
    <t xml:space="preserve">FONTE: </t>
  </si>
  <si>
    <t>COMPOSIÇÃO DE MOBILIZAÇÃO E DESMOBILIZAÇÃO</t>
  </si>
  <si>
    <t>ORIGEM</t>
  </si>
  <si>
    <t>CH E9665</t>
  </si>
  <si>
    <t>DMT (KM)</t>
  </si>
  <si>
    <t>V</t>
  </si>
  <si>
    <t>E9541</t>
  </si>
  <si>
    <t>E9577</t>
  </si>
  <si>
    <t>E9515</t>
  </si>
  <si>
    <t>Escavadeira Hidráulica</t>
  </si>
  <si>
    <t>E9583</t>
  </si>
  <si>
    <t>E9762</t>
  </si>
  <si>
    <t>E9685</t>
  </si>
  <si>
    <t>E9681</t>
  </si>
  <si>
    <t>Rolo compactador liso tandem vibratório autopropelido de 10,4 t - 82 kW</t>
  </si>
  <si>
    <t>E9524</t>
  </si>
  <si>
    <t>Motoniveladora - 93 kW</t>
  </si>
  <si>
    <t>E9518</t>
  </si>
  <si>
    <t>E9511</t>
  </si>
  <si>
    <t>Carregadeira de pneus com capacidade de 3,40 m³ - 195 kW</t>
  </si>
  <si>
    <t>E9544</t>
  </si>
  <si>
    <t>Vassoura Mecânica Rebocável</t>
  </si>
  <si>
    <t>E9545</t>
  </si>
  <si>
    <t>Vibroacabadora de asfalto sobre esteiras - 82 kW</t>
  </si>
  <si>
    <t>TOTAL DE MOBILIZAÇÃO</t>
  </si>
  <si>
    <t>TOTAL DE DESMOBILIZAÇÃO</t>
  </si>
  <si>
    <t>TOTAL DE MOBILIZAÇÃO E DESMOBILIZAÇÃO - EQUIPAMENTOS NÃO RODANTES</t>
  </si>
  <si>
    <t>E9665</t>
  </si>
  <si>
    <t>Cavalo mecânico com semirreboque com capacidade de 22 t - 240 Kw</t>
  </si>
  <si>
    <t>E9667</t>
  </si>
  <si>
    <t>E9571</t>
  </si>
  <si>
    <t>E9509</t>
  </si>
  <si>
    <t>TOTAL DE MOBILIZAÇÃO E DESMOBILIZAÇÃO - EQUIPAMENTOS RODANTES</t>
  </si>
  <si>
    <t>___________________________________</t>
  </si>
  <si>
    <t>PIRAPORA</t>
  </si>
  <si>
    <t>Caminhão basculante com capacidade de 14 m³ - 210 Kw</t>
  </si>
  <si>
    <t>SICRO 10/2025</t>
  </si>
  <si>
    <t>ITEM</t>
  </si>
  <si>
    <t>CÓDIGO</t>
  </si>
  <si>
    <t>FONTE</t>
  </si>
  <si>
    <t>UNID</t>
  </si>
  <si>
    <t>QUANTIDADE</t>
  </si>
  <si>
    <t>PREÇO UNITÁRIO R$</t>
  </si>
  <si>
    <t>PREÇO TOTAL R$</t>
  </si>
  <si>
    <t>SEM BDI</t>
  </si>
  <si>
    <t>COM BDI</t>
  </si>
  <si>
    <t>1</t>
  </si>
  <si>
    <t>1.1</t>
  </si>
  <si>
    <t>ED-28427</t>
  </si>
  <si>
    <t>SETOP</t>
  </si>
  <si>
    <t>un</t>
  </si>
  <si>
    <t>2.1.1</t>
  </si>
  <si>
    <t>SINAPI</t>
  </si>
  <si>
    <t>M2</t>
  </si>
  <si>
    <t>EXECUÇÃO DE PAVIMENTO EM PISO INTERTRAVADO, COM BLOCO SEXTAVADO DE 25 X 25 CM, ESPESSURA 8 CM. AF_10/2022</t>
  </si>
  <si>
    <t>M</t>
  </si>
  <si>
    <t>2.2.1</t>
  </si>
  <si>
    <t>VALOR BDI TOTAL:</t>
  </si>
  <si>
    <t>VALOR ORÇAMENTO:</t>
  </si>
  <si>
    <t>VALOR TOTAL:</t>
  </si>
  <si>
    <t>PLANILHA ORÇAMENTARIA</t>
  </si>
  <si>
    <t>BASE:</t>
  </si>
  <si>
    <t>BDI:</t>
  </si>
  <si>
    <t>SETOP NORTE - 10/2025 - SINAPI -01/2026  - SUDECAP-10/2025 - COMPOSIÇÕES PRÓPRIAS</t>
  </si>
  <si>
    <t>PREFEITURA MUNICIPAL DE IBIAÍ - MG</t>
  </si>
  <si>
    <t>TRANSPORTE DE EQUIPAMENTOS NÃO RODANTES</t>
  </si>
  <si>
    <t>CÓDIGO DNIT</t>
  </si>
  <si>
    <t>EQUIPAMENTO</t>
  </si>
  <si>
    <t>QUANT. DE EQUIP.</t>
  </si>
  <si>
    <t>PAVIMENTADO</t>
  </si>
  <si>
    <t>K</t>
  </si>
  <si>
    <t>FU</t>
  </si>
  <si>
    <t>CMob</t>
  </si>
  <si>
    <t>Trator de esteiras com lâmina - 259 kW</t>
  </si>
  <si>
    <r>
      <t>1.2</t>
    </r>
    <r>
      <rPr>
        <sz val="11"/>
        <color theme="1"/>
        <rFont val="Aptos Narrow"/>
        <family val="2"/>
        <scheme val="minor"/>
      </rPr>
      <t/>
    </r>
  </si>
  <si>
    <t>Trator agrícola - 77 kW</t>
  </si>
  <si>
    <r>
      <t>1.3</t>
    </r>
    <r>
      <rPr>
        <sz val="11"/>
        <color theme="1"/>
        <rFont val="Aptos Narrow"/>
        <family val="2"/>
        <scheme val="minor"/>
      </rPr>
      <t/>
    </r>
  </si>
  <si>
    <r>
      <t>1.4</t>
    </r>
    <r>
      <rPr>
        <sz val="11"/>
        <color theme="1"/>
        <rFont val="Aptos Narrow"/>
        <family val="2"/>
        <scheme val="minor"/>
      </rPr>
      <t/>
    </r>
  </si>
  <si>
    <t>Distribuidor de agregados rebocável de 1,9 m³</t>
  </si>
  <si>
    <r>
      <t>1.5</t>
    </r>
    <r>
      <rPr>
        <sz val="11"/>
        <color theme="1"/>
        <rFont val="Aptos Narrow"/>
        <family val="2"/>
        <scheme val="minor"/>
      </rPr>
      <t/>
    </r>
  </si>
  <si>
    <t>Rolo compactador de pneus autopropelido de 27 t - 85 kW</t>
  </si>
  <si>
    <r>
      <t>1.6</t>
    </r>
    <r>
      <rPr>
        <sz val="11"/>
        <color theme="1"/>
        <rFont val="Aptos Narrow"/>
        <family val="2"/>
        <scheme val="minor"/>
      </rPr>
      <t/>
    </r>
  </si>
  <si>
    <t>Rolo compactador pé de carneiro vibratório autopropelido de 11,6 t - 82 kW</t>
  </si>
  <si>
    <r>
      <t>1.7</t>
    </r>
    <r>
      <rPr>
        <sz val="11"/>
        <color theme="1"/>
        <rFont val="Aptos Narrow"/>
        <family val="2"/>
        <scheme val="minor"/>
      </rPr>
      <t/>
    </r>
  </si>
  <si>
    <r>
      <t>1.8</t>
    </r>
    <r>
      <rPr>
        <sz val="11"/>
        <color theme="1"/>
        <rFont val="Aptos Narrow"/>
        <family val="2"/>
        <scheme val="minor"/>
      </rPr>
      <t/>
    </r>
  </si>
  <si>
    <r>
      <t>1.9</t>
    </r>
    <r>
      <rPr>
        <sz val="11"/>
        <color theme="1"/>
        <rFont val="Aptos Narrow"/>
        <family val="2"/>
        <scheme val="minor"/>
      </rPr>
      <t/>
    </r>
  </si>
  <si>
    <t>Grade de discos rebocável de 24 x 24</t>
  </si>
  <si>
    <r>
      <t>1.10</t>
    </r>
    <r>
      <rPr>
        <sz val="11"/>
        <color theme="1"/>
        <rFont val="Aptos Narrow"/>
        <family val="2"/>
        <scheme val="minor"/>
      </rPr>
      <t/>
    </r>
  </si>
  <si>
    <r>
      <t>1.11</t>
    </r>
    <r>
      <rPr>
        <sz val="11"/>
        <color theme="1"/>
        <rFont val="Aptos Narrow"/>
        <family val="2"/>
        <scheme val="minor"/>
      </rPr>
      <t/>
    </r>
  </si>
  <si>
    <r>
      <t>1.12</t>
    </r>
    <r>
      <rPr>
        <sz val="11"/>
        <color theme="1"/>
        <rFont val="Aptos Narrow"/>
        <family val="2"/>
        <scheme val="minor"/>
      </rPr>
      <t/>
    </r>
  </si>
  <si>
    <t>DESLOCAMENTOS DE VEICULOS - RODANTES</t>
  </si>
  <si>
    <t>REVESTIMENTO PRIMÁRIO</t>
  </si>
  <si>
    <t>CH</t>
  </si>
  <si>
    <t>Caminhão tanque com capacidade de 10.000 l - 188 Kw</t>
  </si>
  <si>
    <t>Caminhão tanque distribuidor de asfalto com capacidade de 6.000 l - 136 Kw</t>
  </si>
  <si>
    <r>
      <rPr>
        <b/>
        <sz val="8"/>
        <rFont val="Arial"/>
        <family val="2"/>
      </rPr>
      <t>REVESTIMENTO
PRIMÁRIO</t>
    </r>
  </si>
  <si>
    <t>RUA BRASÍLIA</t>
  </si>
  <si>
    <t>EXECUÇÃO DE SARJETA DE CONCRETO USINADO, MOLDADA IN LOCO EM TRECHO RETO, 45 CM BASE X 10 CM ALTURA. AF_01/2024</t>
  </si>
  <si>
    <t>WELSON GONÇALVES DA SILVA</t>
  </si>
  <si>
    <t>ASSENTAMENTO DE GUIA (MEIO-FIO) EM TRECHO RETO, CONFECCIONADA EM CONCRETO PRÉ-FABRICADO, DIMENSÕES 100X15X13X20 CM (COMPRIMENTO X BASE INFERIOR X BASE SUPERIOR X ALTURA). AF_01/2024</t>
  </si>
  <si>
    <t>PREFEITO MUNICIPAL DE JAPONVAR</t>
  </si>
  <si>
    <t>142,12+100,82+95,10+166,57+52,90+78,2+356,12+119,75</t>
  </si>
  <si>
    <t>16,24+6,40+4,78+11,15+15,85+7,51</t>
  </si>
  <si>
    <t>2.2.2</t>
  </si>
  <si>
    <t>2.2.3</t>
  </si>
  <si>
    <t>VALOR (R$)</t>
  </si>
  <si>
    <t>MÊS 1</t>
  </si>
  <si>
    <t>MÊS 2</t>
  </si>
  <si>
    <t>MÊS 3</t>
  </si>
  <si>
    <t>MÊS 4</t>
  </si>
  <si>
    <t>Total parcela</t>
  </si>
  <si>
    <t>2</t>
  </si>
  <si>
    <t>3</t>
  </si>
  <si>
    <t>CRONOGRAMA FÍSICO-FINANCEIRO</t>
  </si>
  <si>
    <t xml:space="preserve"> CALÇAMENTO EM BLOCOS SEXTAVADOS DA RUA PEDRALVA NO BAIRRO VILA INDUSTRIAL E RUA GRANDE DO NORTE NO BAIRRO PLANALTO, NA SEDE DO MUNICÍPIO DE JAPONVAR/MG.</t>
  </si>
  <si>
    <t>JAPONVAR - MG</t>
  </si>
  <si>
    <t>PREFEITURA MUNICIPAL DE JAPONVAR-MG</t>
  </si>
  <si>
    <t>2.</t>
  </si>
  <si>
    <t>3.</t>
  </si>
  <si>
    <t>RUA RIO GRANDE DO NORTE</t>
  </si>
  <si>
    <t>89,77*2</t>
  </si>
  <si>
    <t>GABRIEL VINICIUS MARTINS</t>
  </si>
  <si>
    <t>ENGENHEIRO CIVIL - CREA Nº 230.779/D</t>
  </si>
  <si>
    <t>QUADRO DE COMPOSIÇÃO DO BDI</t>
  </si>
  <si>
    <t>ELABORAÇÃO DE PROJETOS, PLANILHA ORÇAMENTÁRIA E CRONOGRAMA E DEMAIS DOCUMENTAÇÕES NECESSÁRIOS PARA O CALÇAMENTO EM BLOCO SEXTAVADO DA RUA PEDRALVA NO BAIRRO VILA INDUSTRIAL E RUA GRANDE DO NORTE NO BAIRRO PLANALTO, NO MUNICIPIO DE JAPONVAR-MG</t>
  </si>
  <si>
    <t>RUA PEDRALVA NO BAIRRO VILA INDUSTRIAL E RUA GRANDE DO NORTE NO BAIRRO PLANALTO, MUNICÍPIO DE JAPONVAR/MG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</si>
</sst>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&quot;R$&quot;\ #,##0.00"/>
    <numFmt numFmtId="165" formatCode="0.000"/>
    <numFmt numFmtId="166" formatCode="&quot;R$&quot;\ #,##0.0000"/>
    <numFmt numFmtId="167" formatCode="#,##0.000"/>
    <numFmt numFmtId="168" formatCode="\R\$\ #,##0.00"/>
    <numFmt numFmtId="169" formatCode="#,##0.00%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00000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20"/>
      <name val="Arial"/>
      <family val="2"/>
    </font>
    <font>
      <b/>
      <sz val="16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0.499984740745262"/>
        <bgColor rgb="FF0000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F2F2F2"/>
      </patternFill>
    </fill>
    <fill>
      <patternFill patternType="solid">
        <fgColor rgb="FFB8CCE4"/>
      </patternFill>
    </fill>
    <fill>
      <patternFill patternType="solid">
        <fgColor rgb="FF8DB4E2"/>
      </patternFill>
    </fill>
    <fill>
      <patternFill patternType="solid">
        <fgColor rgb="FF8DB3E2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CC"/>
      </patternFill>
    </fill>
    <fill>
      <patternFill patternType="solid">
        <fgColor rgb="FFDFDFDF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9" fontId="4" fillId="0" borderId="0"/>
  </cellStyleXfs>
  <cellXfs count="226">
    <xf numFmtId="0" fontId="0" fillId="0" borderId="0" xfId="0"/>
    <xf numFmtId="0" fontId="3" fillId="0" borderId="0" xfId="0" applyFont="1"/>
    <xf numFmtId="0" fontId="8" fillId="0" borderId="0" xfId="0" applyFont="1" applyAlignment="1">
      <alignment horizontal="left" vertical="top"/>
    </xf>
    <xf numFmtId="166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/>
    </xf>
    <xf numFmtId="0" fontId="6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5" fontId="8" fillId="0" borderId="14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 shrinkToFit="1"/>
    </xf>
    <xf numFmtId="165" fontId="8" fillId="0" borderId="11" xfId="0" applyNumberFormat="1" applyFont="1" applyBorder="1" applyAlignment="1">
      <alignment horizontal="center" vertical="center" shrinkToFit="1"/>
    </xf>
    <xf numFmtId="165" fontId="5" fillId="0" borderId="14" xfId="0" applyNumberFormat="1" applyFont="1" applyBorder="1" applyAlignment="1">
      <alignment horizontal="center" vertical="center" shrinkToFit="1"/>
    </xf>
    <xf numFmtId="166" fontId="8" fillId="9" borderId="14" xfId="1" applyNumberFormat="1" applyFont="1" applyFill="1" applyBorder="1" applyAlignment="1">
      <alignment horizontal="center" vertical="center" shrinkToFit="1"/>
    </xf>
    <xf numFmtId="164" fontId="8" fillId="0" borderId="14" xfId="1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/>
    </xf>
    <xf numFmtId="44" fontId="10" fillId="11" borderId="14" xfId="1" applyFont="1" applyFill="1" applyBorder="1" applyAlignment="1">
      <alignment horizontal="right" vertical="center" shrinkToFit="1"/>
    </xf>
    <xf numFmtId="44" fontId="10" fillId="12" borderId="14" xfId="1" applyFont="1" applyFill="1" applyBorder="1" applyAlignment="1">
      <alignment horizontal="right" vertical="center" shrinkToFi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7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0" xfId="0" applyFont="1"/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4" fillId="0" borderId="0" xfId="0" applyFont="1"/>
    <xf numFmtId="0" fontId="15" fillId="15" borderId="14" xfId="0" applyFont="1" applyFill="1" applyBorder="1" applyAlignment="1">
      <alignment horizontal="center" vertical="center" wrapText="1"/>
    </xf>
    <xf numFmtId="168" fontId="15" fillId="0" borderId="14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right" vertical="center" wrapText="1"/>
    </xf>
    <xf numFmtId="168" fontId="13" fillId="0" borderId="14" xfId="0" applyNumberFormat="1" applyFont="1" applyBorder="1" applyAlignment="1">
      <alignment horizontal="right" vertical="center" wrapText="1"/>
    </xf>
    <xf numFmtId="0" fontId="14" fillId="0" borderId="0" xfId="0" applyFont="1" applyAlignment="1" applyProtection="1">
      <alignment wrapText="1"/>
      <protection locked="0"/>
    </xf>
    <xf numFmtId="168" fontId="15" fillId="8" borderId="14" xfId="0" applyNumberFormat="1" applyFont="1" applyFill="1" applyBorder="1" applyAlignment="1">
      <alignment horizontal="right" vertical="center" wrapText="1"/>
    </xf>
    <xf numFmtId="0" fontId="15" fillId="14" borderId="14" xfId="0" applyFont="1" applyFill="1" applyBorder="1" applyAlignment="1">
      <alignment horizontal="left" vertical="center" wrapText="1"/>
    </xf>
    <xf numFmtId="168" fontId="15" fillId="14" borderId="14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5" fontId="5" fillId="0" borderId="11" xfId="0" applyNumberFormat="1" applyFont="1" applyBorder="1" applyAlignment="1">
      <alignment horizontal="center" vertical="center" shrinkToFit="1"/>
    </xf>
    <xf numFmtId="166" fontId="5" fillId="9" borderId="14" xfId="1" applyNumberFormat="1" applyFont="1" applyFill="1" applyBorder="1" applyAlignment="1">
      <alignment horizontal="center" vertical="center" shrinkToFit="1"/>
    </xf>
    <xf numFmtId="164" fontId="5" fillId="0" borderId="14" xfId="1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/>
    </xf>
    <xf numFmtId="166" fontId="5" fillId="0" borderId="0" xfId="0" applyNumberFormat="1" applyFont="1" applyAlignment="1">
      <alignment horizontal="left" vertical="top"/>
    </xf>
    <xf numFmtId="10" fontId="12" fillId="0" borderId="2" xfId="0" applyNumberFormat="1" applyFont="1" applyBorder="1" applyAlignment="1">
      <alignment horizontal="center" vertical="center" wrapText="1"/>
    </xf>
    <xf numFmtId="0" fontId="18" fillId="0" borderId="0" xfId="0" applyFont="1"/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/>
    </xf>
    <xf numFmtId="10" fontId="18" fillId="0" borderId="0" xfId="2" applyNumberFormat="1" applyFont="1"/>
    <xf numFmtId="0" fontId="17" fillId="5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/>
    </xf>
    <xf numFmtId="0" fontId="18" fillId="0" borderId="4" xfId="0" applyFont="1" applyBorder="1"/>
    <xf numFmtId="0" fontId="19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2" fontId="17" fillId="8" borderId="1" xfId="0" applyNumberFormat="1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7" fillId="7" borderId="1" xfId="0" applyNumberFormat="1" applyFont="1" applyFill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2" fontId="18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0" xfId="0" applyFont="1" applyAlignment="1" applyProtection="1">
      <alignment vertical="center"/>
      <protection locked="0"/>
    </xf>
    <xf numFmtId="169" fontId="13" fillId="0" borderId="15" xfId="0" applyNumberFormat="1" applyFont="1" applyBorder="1" applyAlignment="1">
      <alignment horizontal="right" vertical="center" wrapText="1"/>
    </xf>
    <xf numFmtId="0" fontId="3" fillId="0" borderId="15" xfId="0" applyFont="1" applyBorder="1" applyAlignment="1" applyProtection="1">
      <alignment wrapText="1"/>
      <protection locked="0"/>
    </xf>
    <xf numFmtId="168" fontId="13" fillId="16" borderId="14" xfId="0" applyNumberFormat="1" applyFont="1" applyFill="1" applyBorder="1" applyAlignment="1">
      <alignment horizontal="right" vertical="center" wrapText="1"/>
    </xf>
    <xf numFmtId="0" fontId="3" fillId="0" borderId="16" xfId="0" applyFont="1" applyBorder="1" applyAlignment="1" applyProtection="1">
      <alignment wrapText="1"/>
      <protection locked="0"/>
    </xf>
    <xf numFmtId="0" fontId="3" fillId="16" borderId="19" xfId="0" applyFont="1" applyFill="1" applyBorder="1" applyAlignment="1" applyProtection="1">
      <alignment wrapText="1"/>
      <protection locked="0"/>
    </xf>
    <xf numFmtId="0" fontId="3" fillId="16" borderId="20" xfId="0" applyFont="1" applyFill="1" applyBorder="1" applyAlignment="1" applyProtection="1">
      <alignment wrapText="1"/>
      <protection locked="0"/>
    </xf>
    <xf numFmtId="168" fontId="13" fillId="16" borderId="15" xfId="0" applyNumberFormat="1" applyFont="1" applyFill="1" applyBorder="1" applyAlignment="1">
      <alignment horizontal="right" vertical="center" wrapText="1"/>
    </xf>
    <xf numFmtId="0" fontId="3" fillId="16" borderId="21" xfId="0" applyFont="1" applyFill="1" applyBorder="1" applyAlignment="1" applyProtection="1">
      <alignment wrapText="1"/>
      <protection locked="0"/>
    </xf>
    <xf numFmtId="0" fontId="3" fillId="16" borderId="17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vertical="center" wrapText="1"/>
    </xf>
    <xf numFmtId="0" fontId="15" fillId="16" borderId="14" xfId="0" applyFont="1" applyFill="1" applyBorder="1" applyAlignment="1">
      <alignment horizontal="center" vertical="center" wrapText="1"/>
    </xf>
    <xf numFmtId="0" fontId="0" fillId="0" borderId="10" xfId="0" applyBorder="1"/>
    <xf numFmtId="0" fontId="15" fillId="16" borderId="16" xfId="0" applyFont="1" applyFill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17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14" fontId="19" fillId="0" borderId="5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right" vertical="center"/>
    </xf>
    <xf numFmtId="0" fontId="17" fillId="2" borderId="18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0" borderId="24" xfId="0" applyFont="1" applyBorder="1"/>
    <xf numFmtId="0" fontId="18" fillId="0" borderId="25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22" xfId="0" applyFont="1" applyBorder="1"/>
    <xf numFmtId="0" fontId="25" fillId="0" borderId="0" xfId="0" applyFont="1" applyAlignment="1">
      <alignment vertical="center"/>
    </xf>
    <xf numFmtId="0" fontId="19" fillId="5" borderId="4" xfId="0" applyFont="1" applyFill="1" applyBorder="1" applyAlignment="1">
      <alignment horizontal="left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left" vertical="center" wrapText="1"/>
    </xf>
    <xf numFmtId="0" fontId="19" fillId="6" borderId="18" xfId="0" applyFont="1" applyFill="1" applyBorder="1" applyAlignment="1">
      <alignment horizontal="left" vertical="center" wrapText="1"/>
    </xf>
    <xf numFmtId="0" fontId="19" fillId="6" borderId="9" xfId="0" applyFont="1" applyFill="1" applyBorder="1" applyAlignment="1">
      <alignment horizontal="left" vertical="center" wrapText="1"/>
    </xf>
    <xf numFmtId="0" fontId="19" fillId="6" borderId="10" xfId="0" applyFont="1" applyFill="1" applyBorder="1" applyAlignment="1">
      <alignment horizontal="left" vertical="center" wrapText="1"/>
    </xf>
    <xf numFmtId="0" fontId="19" fillId="6" borderId="22" xfId="0" applyFont="1" applyFill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1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1" fillId="13" borderId="1" xfId="0" applyFont="1" applyFill="1" applyBorder="1" applyAlignment="1" applyProtection="1">
      <alignment horizontal="center" vertical="center"/>
      <protection locked="0"/>
    </xf>
    <xf numFmtId="0" fontId="11" fillId="13" borderId="2" xfId="0" applyFont="1" applyFill="1" applyBorder="1" applyAlignment="1" applyProtection="1">
      <alignment horizontal="center" vertical="center"/>
      <protection locked="0"/>
    </xf>
    <xf numFmtId="0" fontId="11" fillId="13" borderId="5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 wrapText="1"/>
    </xf>
    <xf numFmtId="0" fontId="15" fillId="14" borderId="14" xfId="0" applyFont="1" applyFill="1" applyBorder="1" applyAlignment="1">
      <alignment horizontal="left" vertical="center" wrapText="1"/>
    </xf>
    <xf numFmtId="0" fontId="15" fillId="15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8" fontId="13" fillId="16" borderId="13" xfId="0" applyNumberFormat="1" applyFont="1" applyFill="1" applyBorder="1" applyAlignment="1">
      <alignment horizontal="right" vertical="center" wrapText="1"/>
    </xf>
    <xf numFmtId="168" fontId="13" fillId="16" borderId="14" xfId="0" applyNumberFormat="1" applyFont="1" applyFill="1" applyBorder="1" applyAlignment="1">
      <alignment horizontal="right" vertical="center" wrapText="1"/>
    </xf>
    <xf numFmtId="168" fontId="15" fillId="0" borderId="11" xfId="0" applyNumberFormat="1" applyFont="1" applyBorder="1" applyAlignment="1">
      <alignment horizontal="right" vertical="center" wrapText="1"/>
    </xf>
    <xf numFmtId="168" fontId="15" fillId="0" borderId="13" xfId="0" applyNumberFormat="1" applyFont="1" applyBorder="1" applyAlignment="1">
      <alignment horizontal="right" vertical="center" wrapText="1"/>
    </xf>
    <xf numFmtId="169" fontId="15" fillId="0" borderId="11" xfId="0" applyNumberFormat="1" applyFont="1" applyBorder="1" applyAlignment="1">
      <alignment horizontal="right" vertical="center" wrapText="1"/>
    </xf>
    <xf numFmtId="169" fontId="15" fillId="0" borderId="13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left" vertical="center" wrapText="1"/>
    </xf>
    <xf numFmtId="168" fontId="13" fillId="0" borderId="14" xfId="0" applyNumberFormat="1" applyFont="1" applyBorder="1" applyAlignment="1">
      <alignment horizontal="right" vertical="center" wrapText="1"/>
    </xf>
    <xf numFmtId="0" fontId="15" fillId="16" borderId="26" xfId="0" applyFont="1" applyFill="1" applyBorder="1" applyAlignment="1">
      <alignment horizontal="center" vertical="center" wrapText="1"/>
    </xf>
    <xf numFmtId="0" fontId="15" fillId="16" borderId="2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44" fontId="10" fillId="12" borderId="15" xfId="1" applyFont="1" applyFill="1" applyBorder="1" applyAlignment="1">
      <alignment horizontal="right" vertical="center" shrinkToFit="1"/>
    </xf>
    <xf numFmtId="44" fontId="10" fillId="12" borderId="16" xfId="1" applyFont="1" applyFill="1" applyBorder="1" applyAlignment="1">
      <alignment horizontal="right" vertical="center" shrinkToFit="1"/>
    </xf>
  </cellXfs>
  <cellStyles count="7">
    <cellStyle name="Moeda" xfId="1" builtinId="4"/>
    <cellStyle name="Moeda 2" xfId="4" xr:uid="{EED4BCBA-219B-4758-8983-D2BB83D18D16}"/>
    <cellStyle name="Normal" xfId="0" builtinId="0"/>
    <cellStyle name="Normal 10" xfId="5" xr:uid="{AAE92A87-6F1C-4F9E-BB0E-AD98BC8AF002}"/>
    <cellStyle name="Normal 6" xfId="3" xr:uid="{6937EFA9-B8D7-4D79-AD3C-170CA5B45D6F}"/>
    <cellStyle name="Porcentagem" xfId="2" builtinId="5"/>
    <cellStyle name="Porcentagem 2 2" xfId="6" xr:uid="{2818E5F3-27F2-49D4-A6FA-B2D781EC9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7.jpe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138544</xdr:colOff>
      <xdr:row>0</xdr:row>
      <xdr:rowOff>41563</xdr:rowOff>
    </xdr:from>
    <xdr:to>
      <xdr:col>1</xdr:col>
      <xdr:colOff>1807387</xdr:colOff>
      <xdr:row>0</xdr:row>
      <xdr:rowOff>775855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A61A7C-42AF-0176-9062-DDE00AD4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035" y="41563"/>
          <a:ext cx="1668843" cy="734292"/>
        </a:xfrm>
        <a:prstGeom prst="rect">
          <a:avLst/>
        </a:prstGeom>
      </xdr:spPr>
    </xdr:pic>
    <xdr:clientData/>
  </xdr:twoCellAnchor>
  <xdr:twoCellAnchor editAs="oneCell">
    <xdr:from>
      <xdr:col>9</xdr:col>
      <xdr:colOff>886692</xdr:colOff>
      <xdr:row>0</xdr:row>
      <xdr:rowOff>69314</xdr:rowOff>
    </xdr:from>
    <xdr:to>
      <xdr:col>10</xdr:col>
      <xdr:colOff>1177636</xdr:colOff>
      <xdr:row>0</xdr:row>
      <xdr:rowOff>811876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7C1D67C-6B64-6321-DDCD-607EB375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1" y="69314"/>
          <a:ext cx="2341417" cy="742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122145</xdr:colOff>
      <xdr:row>0</xdr:row>
      <xdr:rowOff>44824</xdr:rowOff>
    </xdr:from>
    <xdr:to>
      <xdr:col>1</xdr:col>
      <xdr:colOff>178174</xdr:colOff>
      <xdr:row>0</xdr:row>
      <xdr:rowOff>444202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787528-BF57-469D-A3A1-5C56EFD39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45" y="44824"/>
          <a:ext cx="903754" cy="399378"/>
        </a:xfrm>
        <a:prstGeom prst="rect">
          <a:avLst/>
        </a:prstGeom>
      </xdr:spPr>
    </xdr:pic>
    <xdr:clientData/>
  </xdr:twoCellAnchor>
  <xdr:twoCellAnchor editAs="oneCell">
    <xdr:from>
      <xdr:col>8</xdr:col>
      <xdr:colOff>582707</xdr:colOff>
      <xdr:row>0</xdr:row>
      <xdr:rowOff>22413</xdr:rowOff>
    </xdr:from>
    <xdr:to>
      <xdr:col>9</xdr:col>
      <xdr:colOff>941295</xdr:colOff>
      <xdr:row>0</xdr:row>
      <xdr:rowOff>469119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0F0B93F-2C39-41AC-88F5-25313131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0560" y="78442"/>
          <a:ext cx="1378323" cy="446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8</xdr:row>
      <xdr:rowOff>85726</xdr:rowOff>
    </xdr:from>
    <xdr:to>
      <xdr:col>9</xdr:col>
      <xdr:colOff>526835</xdr:colOff>
      <xdr:row>21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1CF9F4-E200-0CD7-9E77-B61089E0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667329"/>
          <a:ext cx="6340368" cy="2390774"/>
        </a:xfrm>
        <a:prstGeom prst="rect">
          <a:avLst/>
        </a:prstGeom>
      </xdr:spPr>
    </xdr:pic>
    <xdr:clientData/>
  </xdr:twoCellAnchor>
  <xdr:twoCellAnchor editAs="oneCell">
    <xdr:from>
      <xdr:col>1</xdr:col>
      <xdr:colOff>111672</xdr:colOff>
      <xdr:row>21</xdr:row>
      <xdr:rowOff>177362</xdr:rowOff>
    </xdr:from>
    <xdr:to>
      <xdr:col>7</xdr:col>
      <xdr:colOff>502273</xdr:colOff>
      <xdr:row>25</xdr:row>
      <xdr:rowOff>151087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8AB9737-A459-DC0D-5FD8-498C54E90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896" y="5235465"/>
          <a:ext cx="4056084" cy="735725"/>
        </a:xfrm>
        <a:prstGeom prst="rect">
          <a:avLst/>
        </a:prstGeom>
      </xdr:spPr>
    </xdr:pic>
    <xdr:clientData/>
  </xdr:twoCellAnchor>
  <xdr:twoCellAnchor editAs="oneCell">
    <xdr:from>
      <xdr:col>0</xdr:col>
      <xdr:colOff>72259</xdr:colOff>
      <xdr:row>26</xdr:row>
      <xdr:rowOff>95661</xdr:rowOff>
    </xdr:from>
    <xdr:to>
      <xdr:col>9</xdr:col>
      <xdr:colOff>584639</xdr:colOff>
      <xdr:row>32</xdr:row>
      <xdr:rowOff>186214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3461625-E18D-77F6-E458-284883647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259" y="6106264"/>
          <a:ext cx="6325914" cy="1233553"/>
        </a:xfrm>
        <a:prstGeom prst="rect">
          <a:avLst/>
        </a:prstGeom>
      </xdr:spPr>
    </xdr:pic>
    <xdr:clientData/>
  </xdr:twoCellAnchor>
  <xdr:twoCellAnchor editAs="oneCell">
    <xdr:from>
      <xdr:col>0</xdr:col>
      <xdr:colOff>87923</xdr:colOff>
      <xdr:row>1</xdr:row>
      <xdr:rowOff>7326</xdr:rowOff>
    </xdr:from>
    <xdr:to>
      <xdr:col>1</xdr:col>
      <xdr:colOff>68485</xdr:colOff>
      <xdr:row>3</xdr:row>
      <xdr:rowOff>25704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86B5728-A049-467F-B52C-5248EAF9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923" y="197826"/>
          <a:ext cx="903754" cy="399378"/>
        </a:xfrm>
        <a:prstGeom prst="rect">
          <a:avLst/>
        </a:prstGeom>
      </xdr:spPr>
    </xdr:pic>
    <xdr:clientData/>
  </xdr:twoCellAnchor>
  <xdr:twoCellAnchor editAs="oneCell">
    <xdr:from>
      <xdr:col>7</xdr:col>
      <xdr:colOff>549519</xdr:colOff>
      <xdr:row>1</xdr:row>
      <xdr:rowOff>30080</xdr:rowOff>
    </xdr:from>
    <xdr:to>
      <xdr:col>9</xdr:col>
      <xdr:colOff>527840</xdr:colOff>
      <xdr:row>3</xdr:row>
      <xdr:rowOff>36397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2B541C6-508F-4648-AF73-9403FF9F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1519" y="220580"/>
          <a:ext cx="1194590" cy="387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0</xdr:row>
      <xdr:rowOff>36634</xdr:rowOff>
    </xdr:from>
    <xdr:to>
      <xdr:col>0</xdr:col>
      <xdr:colOff>822614</xdr:colOff>
      <xdr:row>0</xdr:row>
      <xdr:rowOff>366346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30CA11-6A0D-460E-905D-E1A55DEF9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70" y="36634"/>
          <a:ext cx="749344" cy="329712"/>
        </a:xfrm>
        <a:prstGeom prst="rect">
          <a:avLst/>
        </a:prstGeom>
      </xdr:spPr>
    </xdr:pic>
    <xdr:clientData/>
  </xdr:twoCellAnchor>
  <xdr:twoCellAnchor editAs="oneCell">
    <xdr:from>
      <xdr:col>6</xdr:col>
      <xdr:colOff>688731</xdr:colOff>
      <xdr:row>0</xdr:row>
      <xdr:rowOff>29308</xdr:rowOff>
    </xdr:from>
    <xdr:to>
      <xdr:col>8</xdr:col>
      <xdr:colOff>14654</xdr:colOff>
      <xdr:row>0</xdr:row>
      <xdr:rowOff>387874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3998565-9BE1-43CA-9D39-D96E265F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8712" y="29308"/>
          <a:ext cx="1106365" cy="35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348875</xdr:colOff>
      <xdr:row>39</xdr:row>
      <xdr:rowOff>106847</xdr:rowOff>
    </xdr:from>
    <xdr:ext cx="2816356" cy="1106578"/>
    <xdr:pic>
      <xdr:nvPicPr>
        <xdr:cNvPr id="2" name="image4.jpeg">
          <a:extLst>
            <a:ext uri="{FF2B5EF4-FFF2-40B4-BE49-F238E27FC236}">
              <a16:creationId xmlns:a16="http://schemas.microsoft.com/office/drawing/2014/main" id="{44E423DD-E3CC-45F1-AA1A-9C07C75B0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75" y="5509427"/>
          <a:ext cx="2816356" cy="11065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DD71-D8BD-4477-B1B3-10905FFCB1ED}">
  <sheetPr codeName="Planilha1">
    <pageSetUpPr fitToPage="1"/>
  </sheetPr>
  <dimension ref="A1:O50"/>
  <sheetViews>
    <sheetView tabSelected="1" view="pageBreakPreview" zoomScale="70" zoomScaleNormal="85" zoomScaleSheetLayoutView="70" workbookViewId="0">
      <selection activeCell="D16" sqref="D16:K17"/>
    </sheetView>
  </sheetViews>
  <sheetFormatPr defaultColWidth="8.85546875" defaultRowHeight="18" x14ac:dyDescent="0.25"/>
  <cols>
    <col min="1" max="1" width="20.5703125" style="67" customWidth="1"/>
    <col min="2" max="2" width="30" style="67" customWidth="1"/>
    <col min="3" max="3" width="55.7109375" style="67" customWidth="1"/>
    <col min="4" max="4" width="25.28515625" style="67" customWidth="1"/>
    <col min="5" max="5" width="26.85546875" style="67" customWidth="1"/>
    <col min="6" max="6" width="24.140625" style="67" customWidth="1"/>
    <col min="7" max="7" width="20.42578125" style="67" customWidth="1"/>
    <col min="8" max="8" width="18.28515625" style="67" customWidth="1"/>
    <col min="9" max="9" width="24.42578125" style="67" customWidth="1"/>
    <col min="10" max="10" width="29.85546875" style="67" customWidth="1"/>
    <col min="11" max="11" width="30.140625" style="67" customWidth="1"/>
    <col min="12" max="13" width="8.85546875" style="67"/>
    <col min="14" max="14" width="13.28515625" style="67" customWidth="1"/>
    <col min="15" max="15" width="8.85546875" style="67"/>
    <col min="16" max="16" width="11" style="67" bestFit="1" customWidth="1"/>
    <col min="17" max="20" width="8.85546875" style="67"/>
    <col min="21" max="21" width="13" style="67" customWidth="1"/>
    <col min="22" max="16384" width="8.85546875" style="67"/>
  </cols>
  <sheetData>
    <row r="1" spans="1:15" ht="65.45" customHeight="1" x14ac:dyDescent="0.25">
      <c r="A1" s="157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</row>
    <row r="2" spans="1:15" x14ac:dyDescent="0.25">
      <c r="A2" s="119" t="s">
        <v>1</v>
      </c>
      <c r="B2" s="160" t="str">
        <f>ORÇAMENTO!B2</f>
        <v xml:space="preserve"> CALÇAMENTO EM BLOCOS SEXTAVADOS DA RUA PEDRALVA NO BAIRRO VILA INDUSTRIAL E RUA GRANDE DO NORTE NO BAIRRO PLANALTO, NA SEDE DO MUNICÍPIO DE JAPONVAR/MG.</v>
      </c>
      <c r="C2" s="161"/>
      <c r="D2" s="161"/>
      <c r="E2" s="161"/>
      <c r="F2" s="161"/>
      <c r="G2" s="161"/>
      <c r="H2" s="161"/>
      <c r="I2" s="161"/>
      <c r="J2" s="161"/>
      <c r="K2" s="162"/>
    </row>
    <row r="3" spans="1:15" x14ac:dyDescent="0.25">
      <c r="A3" s="77" t="s">
        <v>2</v>
      </c>
      <c r="B3" s="163" t="str">
        <f>ORÇAMENTO!B4</f>
        <v>RUA PEDRALVA NO BAIRRO VILA INDUSTRIAL E RUA GRANDE DO NORTE NO BAIRRO PLANALTO, MUNICÍPIO DE JAPONVAR/MG</v>
      </c>
      <c r="C3" s="164"/>
      <c r="D3" s="164"/>
      <c r="E3" s="164"/>
      <c r="F3" s="164"/>
      <c r="G3" s="164"/>
      <c r="H3" s="164"/>
      <c r="I3" s="164"/>
      <c r="J3" s="164"/>
      <c r="K3" s="165"/>
      <c r="M3"/>
    </row>
    <row r="4" spans="1:15" x14ac:dyDescent="0.25">
      <c r="A4" s="81" t="s">
        <v>12</v>
      </c>
      <c r="B4" s="164" t="s">
        <v>92</v>
      </c>
      <c r="C4" s="164"/>
      <c r="D4" s="164"/>
      <c r="E4" s="164"/>
      <c r="F4" s="164"/>
      <c r="G4" s="164"/>
      <c r="H4" s="164"/>
      <c r="I4" s="164"/>
      <c r="J4" s="70" t="s">
        <v>13</v>
      </c>
      <c r="K4" s="121">
        <f ca="1">TODAY()</f>
        <v>46206</v>
      </c>
    </row>
    <row r="5" spans="1:15" x14ac:dyDescent="0.25">
      <c r="A5" s="122"/>
      <c r="B5" s="69"/>
      <c r="C5" s="69"/>
      <c r="D5" s="69"/>
      <c r="E5" s="69"/>
      <c r="F5" s="69"/>
      <c r="G5" s="69"/>
      <c r="H5" s="69"/>
      <c r="I5" s="69"/>
      <c r="J5" s="69"/>
      <c r="K5" s="120"/>
    </row>
    <row r="6" spans="1:15" ht="13.9" customHeight="1" x14ac:dyDescent="0.25">
      <c r="A6" s="123" t="s">
        <v>14</v>
      </c>
      <c r="B6" s="166" t="s">
        <v>3</v>
      </c>
      <c r="C6" s="166"/>
      <c r="D6" s="166"/>
      <c r="E6" s="166"/>
      <c r="F6" s="166"/>
      <c r="G6" s="166"/>
      <c r="H6" s="166"/>
      <c r="I6" s="166"/>
      <c r="J6" s="166"/>
      <c r="K6" s="166"/>
    </row>
    <row r="7" spans="1:15" x14ac:dyDescent="0.25">
      <c r="A7" s="124"/>
      <c r="B7" s="71"/>
      <c r="C7" s="72"/>
      <c r="D7" s="72"/>
      <c r="E7" s="72"/>
      <c r="F7" s="72"/>
      <c r="G7" s="72"/>
      <c r="H7" s="72"/>
      <c r="I7" s="72"/>
      <c r="J7" s="73"/>
      <c r="K7" s="125"/>
      <c r="O7" s="74"/>
    </row>
    <row r="8" spans="1:15" ht="15" customHeight="1" x14ac:dyDescent="0.25">
      <c r="A8" s="126" t="s">
        <v>4</v>
      </c>
      <c r="B8" s="75"/>
      <c r="C8" s="136"/>
      <c r="D8" s="137" t="s">
        <v>26</v>
      </c>
      <c r="E8" s="138"/>
      <c r="F8" s="138"/>
      <c r="G8" s="138"/>
      <c r="H8" s="138"/>
      <c r="I8" s="138"/>
      <c r="J8" s="138"/>
      <c r="K8" s="139"/>
    </row>
    <row r="9" spans="1:15" ht="34.9" customHeight="1" x14ac:dyDescent="0.25">
      <c r="A9" s="126" t="s">
        <v>5</v>
      </c>
      <c r="B9" s="76"/>
      <c r="C9" s="136"/>
      <c r="D9" s="140"/>
      <c r="E9" s="141"/>
      <c r="F9" s="141"/>
      <c r="G9" s="141"/>
      <c r="H9" s="141"/>
      <c r="I9" s="141"/>
      <c r="J9" s="141"/>
      <c r="K9" s="142"/>
    </row>
    <row r="10" spans="1:15" x14ac:dyDescent="0.25">
      <c r="A10" s="148" t="s">
        <v>6</v>
      </c>
      <c r="B10" s="149"/>
      <c r="C10" s="77" t="s">
        <v>7</v>
      </c>
      <c r="D10" s="77" t="s">
        <v>8</v>
      </c>
      <c r="E10" s="77"/>
      <c r="F10" s="78"/>
      <c r="G10" s="79"/>
      <c r="H10" s="80"/>
      <c r="I10" s="68"/>
      <c r="J10" s="81" t="s">
        <v>25</v>
      </c>
      <c r="K10" s="77" t="s">
        <v>10</v>
      </c>
    </row>
    <row r="11" spans="1:15" x14ac:dyDescent="0.25">
      <c r="A11" s="124"/>
      <c r="B11" s="71"/>
      <c r="C11" s="72"/>
      <c r="D11" s="82">
        <v>1</v>
      </c>
      <c r="E11" s="82"/>
      <c r="F11" s="78"/>
      <c r="G11" s="79"/>
      <c r="H11" s="80"/>
      <c r="I11" s="68"/>
      <c r="J11" s="83">
        <f>D11</f>
        <v>1</v>
      </c>
      <c r="K11" s="168"/>
    </row>
    <row r="12" spans="1:15" x14ac:dyDescent="0.25">
      <c r="A12" s="169" t="s">
        <v>11</v>
      </c>
      <c r="B12" s="170"/>
      <c r="C12" s="170"/>
      <c r="D12" s="170"/>
      <c r="E12" s="170"/>
      <c r="F12" s="170"/>
      <c r="G12" s="170"/>
      <c r="H12" s="170"/>
      <c r="I12" s="171"/>
      <c r="J12" s="84">
        <f>ROUND(SUM(J11:J11),2)</f>
        <v>1</v>
      </c>
      <c r="K12" s="168"/>
    </row>
    <row r="13" spans="1:15" x14ac:dyDescent="0.25">
      <c r="A13" s="124"/>
      <c r="B13" s="71"/>
      <c r="C13" s="72"/>
      <c r="D13" s="72"/>
      <c r="E13" s="72"/>
      <c r="F13" s="72"/>
      <c r="G13" s="72"/>
      <c r="H13" s="72"/>
      <c r="I13" s="72"/>
      <c r="J13" s="73"/>
      <c r="K13" s="125"/>
    </row>
    <row r="14" spans="1:15" x14ac:dyDescent="0.25">
      <c r="A14" s="127" t="s">
        <v>146</v>
      </c>
      <c r="B14" s="167" t="s">
        <v>27</v>
      </c>
      <c r="C14" s="167"/>
      <c r="D14" s="167"/>
      <c r="E14" s="167"/>
      <c r="F14" s="167"/>
      <c r="G14" s="167"/>
      <c r="H14" s="167"/>
      <c r="I14" s="167"/>
      <c r="J14" s="167"/>
      <c r="K14" s="167"/>
    </row>
    <row r="15" spans="1:15" x14ac:dyDescent="0.25">
      <c r="A15" s="128"/>
      <c r="B15" s="89"/>
      <c r="C15" s="89"/>
      <c r="D15" s="90"/>
      <c r="E15" s="90"/>
      <c r="F15" s="90"/>
      <c r="G15" s="90"/>
      <c r="H15" s="90"/>
      <c r="I15" s="90"/>
      <c r="J15" s="90"/>
      <c r="K15" s="129"/>
    </row>
    <row r="16" spans="1:15" x14ac:dyDescent="0.25">
      <c r="A16" s="126" t="s">
        <v>4</v>
      </c>
      <c r="B16" s="75"/>
      <c r="C16" s="136"/>
      <c r="D16" s="137" t="s">
        <v>19</v>
      </c>
      <c r="E16" s="138"/>
      <c r="F16" s="138"/>
      <c r="G16" s="138"/>
      <c r="H16" s="138"/>
      <c r="I16" s="138"/>
      <c r="J16" s="138"/>
      <c r="K16" s="139"/>
    </row>
    <row r="17" spans="1:11" x14ac:dyDescent="0.25">
      <c r="A17" s="126" t="s">
        <v>5</v>
      </c>
      <c r="B17" s="76"/>
      <c r="C17" s="136"/>
      <c r="D17" s="140"/>
      <c r="E17" s="141"/>
      <c r="F17" s="141"/>
      <c r="G17" s="141"/>
      <c r="H17" s="141"/>
      <c r="I17" s="141"/>
      <c r="J17" s="141"/>
      <c r="K17" s="142"/>
    </row>
    <row r="18" spans="1:11" x14ac:dyDescent="0.25">
      <c r="A18" s="148" t="s">
        <v>6</v>
      </c>
      <c r="B18" s="149"/>
      <c r="C18" s="77" t="s">
        <v>7</v>
      </c>
      <c r="D18" s="77" t="s">
        <v>18</v>
      </c>
      <c r="E18" s="77"/>
      <c r="F18" s="77"/>
      <c r="G18" s="91"/>
      <c r="H18" s="91"/>
      <c r="I18" s="92"/>
      <c r="J18" s="81" t="s">
        <v>9</v>
      </c>
      <c r="K18" s="77" t="s">
        <v>10</v>
      </c>
    </row>
    <row r="19" spans="1:11" x14ac:dyDescent="0.25">
      <c r="A19" s="153" t="s">
        <v>125</v>
      </c>
      <c r="B19" s="154"/>
      <c r="C19" s="79"/>
      <c r="D19" s="96">
        <v>3843.66</v>
      </c>
      <c r="E19" s="94"/>
      <c r="F19" s="95"/>
      <c r="G19" s="79"/>
      <c r="H19" s="79"/>
      <c r="I19" s="79"/>
      <c r="J19" s="87">
        <f>D19</f>
        <v>3843.66</v>
      </c>
      <c r="K19" s="143"/>
    </row>
    <row r="20" spans="1:11" x14ac:dyDescent="0.25">
      <c r="A20" s="153" t="s">
        <v>148</v>
      </c>
      <c r="B20" s="154"/>
      <c r="C20" s="79"/>
      <c r="D20" s="96">
        <v>631.69000000000005</v>
      </c>
      <c r="E20" s="94"/>
      <c r="F20" s="95"/>
      <c r="G20" s="79"/>
      <c r="H20" s="79"/>
      <c r="I20" s="79"/>
      <c r="J20" s="87">
        <f>D20</f>
        <v>631.69000000000005</v>
      </c>
      <c r="K20" s="143"/>
    </row>
    <row r="21" spans="1:11" x14ac:dyDescent="0.25">
      <c r="A21" s="145" t="s">
        <v>11</v>
      </c>
      <c r="B21" s="146"/>
      <c r="C21" s="146"/>
      <c r="D21" s="146"/>
      <c r="E21" s="146"/>
      <c r="F21" s="146"/>
      <c r="G21" s="146"/>
      <c r="H21" s="146"/>
      <c r="I21" s="147"/>
      <c r="J21" s="88">
        <f>ROUND(SUM(J19:J20),2)</f>
        <v>4475.3500000000004</v>
      </c>
      <c r="K21" s="144"/>
    </row>
    <row r="22" spans="1:11" x14ac:dyDescent="0.25">
      <c r="A22" s="128"/>
      <c r="B22" s="89"/>
      <c r="C22" s="89"/>
      <c r="D22" s="90"/>
      <c r="E22" s="90"/>
      <c r="F22" s="90"/>
      <c r="G22" s="90"/>
      <c r="H22" s="90"/>
      <c r="I22" s="90"/>
      <c r="J22" s="90"/>
      <c r="K22" s="129"/>
    </row>
    <row r="23" spans="1:11" x14ac:dyDescent="0.25">
      <c r="A23" s="127" t="s">
        <v>147</v>
      </c>
      <c r="B23" s="167" t="s">
        <v>21</v>
      </c>
      <c r="C23" s="167"/>
      <c r="D23" s="167"/>
      <c r="E23" s="167"/>
      <c r="F23" s="167"/>
      <c r="G23" s="167"/>
      <c r="H23" s="167"/>
      <c r="I23" s="167"/>
      <c r="J23" s="167"/>
      <c r="K23" s="167"/>
    </row>
    <row r="24" spans="1:11" x14ac:dyDescent="0.25">
      <c r="A24" s="128"/>
      <c r="B24" s="89"/>
      <c r="C24" s="89"/>
      <c r="D24" s="90"/>
      <c r="E24" s="90"/>
      <c r="F24" s="90"/>
      <c r="G24" s="90"/>
      <c r="H24" s="90"/>
      <c r="I24" s="90"/>
      <c r="J24" s="90"/>
      <c r="K24" s="129"/>
    </row>
    <row r="25" spans="1:11" x14ac:dyDescent="0.25">
      <c r="A25" s="126" t="s">
        <v>4</v>
      </c>
      <c r="B25" s="75"/>
      <c r="C25" s="136"/>
      <c r="D25" s="137" t="s">
        <v>22</v>
      </c>
      <c r="E25" s="138"/>
      <c r="F25" s="138"/>
      <c r="G25" s="138"/>
      <c r="H25" s="138"/>
      <c r="I25" s="138"/>
      <c r="J25" s="138"/>
      <c r="K25" s="139"/>
    </row>
    <row r="26" spans="1:11" x14ac:dyDescent="0.25">
      <c r="A26" s="126" t="s">
        <v>5</v>
      </c>
      <c r="B26" s="76"/>
      <c r="C26" s="136"/>
      <c r="D26" s="140"/>
      <c r="E26" s="141"/>
      <c r="F26" s="141"/>
      <c r="G26" s="141"/>
      <c r="H26" s="141"/>
      <c r="I26" s="141"/>
      <c r="J26" s="141"/>
      <c r="K26" s="142"/>
    </row>
    <row r="27" spans="1:11" ht="36" x14ac:dyDescent="0.25">
      <c r="A27" s="148" t="s">
        <v>6</v>
      </c>
      <c r="B27" s="149"/>
      <c r="C27" s="77" t="s">
        <v>7</v>
      </c>
      <c r="D27" s="77" t="s">
        <v>16</v>
      </c>
      <c r="E27" s="77"/>
      <c r="F27" s="77"/>
      <c r="G27" s="91"/>
      <c r="H27" s="91"/>
      <c r="I27" s="92"/>
      <c r="J27" s="81" t="s">
        <v>23</v>
      </c>
      <c r="K27" s="77" t="s">
        <v>10</v>
      </c>
    </row>
    <row r="28" spans="1:11" s="99" customFormat="1" ht="36" x14ac:dyDescent="0.25">
      <c r="A28" s="151" t="str">
        <f>A19</f>
        <v>RUA BRASÍLIA</v>
      </c>
      <c r="B28" s="152"/>
      <c r="C28" s="93" t="s">
        <v>130</v>
      </c>
      <c r="D28" s="97">
        <f>142.12+100.82+95.1+166.57+52.9+78.2+356.12+119.75</f>
        <v>1111.58</v>
      </c>
      <c r="E28" s="94"/>
      <c r="F28" s="95"/>
      <c r="G28" s="98"/>
      <c r="H28" s="98"/>
      <c r="I28" s="98"/>
      <c r="J28" s="87">
        <f>D28</f>
        <v>1111.58</v>
      </c>
      <c r="K28" s="143"/>
    </row>
    <row r="29" spans="1:11" s="99" customFormat="1" x14ac:dyDescent="0.25">
      <c r="A29" s="151" t="str">
        <f>A20</f>
        <v>RUA RIO GRANDE DO NORTE</v>
      </c>
      <c r="B29" s="152"/>
      <c r="C29" s="93" t="s">
        <v>149</v>
      </c>
      <c r="D29" s="97">
        <f>89.77*2</f>
        <v>179.54</v>
      </c>
      <c r="E29" s="94"/>
      <c r="F29" s="95"/>
      <c r="G29" s="98"/>
      <c r="H29" s="98"/>
      <c r="I29" s="98"/>
      <c r="J29" s="87">
        <f>D29</f>
        <v>179.54</v>
      </c>
      <c r="K29" s="143"/>
    </row>
    <row r="30" spans="1:11" x14ac:dyDescent="0.25">
      <c r="A30" s="145" t="s">
        <v>11</v>
      </c>
      <c r="B30" s="146"/>
      <c r="C30" s="146"/>
      <c r="D30" s="146"/>
      <c r="E30" s="146"/>
      <c r="F30" s="146"/>
      <c r="G30" s="146"/>
      <c r="H30" s="146"/>
      <c r="I30" s="147"/>
      <c r="J30" s="88">
        <f>ROUND(SUM(J28:J29),2)</f>
        <v>1291.1199999999999</v>
      </c>
      <c r="K30" s="144"/>
    </row>
    <row r="31" spans="1:11" x14ac:dyDescent="0.25">
      <c r="A31" s="128"/>
      <c r="B31" s="89"/>
      <c r="C31" s="89"/>
      <c r="D31" s="90"/>
      <c r="E31" s="90"/>
      <c r="F31" s="90"/>
      <c r="G31" s="90"/>
      <c r="H31" s="90"/>
      <c r="I31" s="90"/>
      <c r="J31" s="90"/>
      <c r="K31" s="129"/>
    </row>
    <row r="32" spans="1:11" x14ac:dyDescent="0.25">
      <c r="A32" s="126" t="s">
        <v>4</v>
      </c>
      <c r="B32" s="75"/>
      <c r="C32" s="136"/>
      <c r="D32" s="137" t="s">
        <v>126</v>
      </c>
      <c r="E32" s="138"/>
      <c r="F32" s="138"/>
      <c r="G32" s="138"/>
      <c r="H32" s="138"/>
      <c r="I32" s="138"/>
      <c r="J32" s="138"/>
      <c r="K32" s="139"/>
    </row>
    <row r="33" spans="1:11" x14ac:dyDescent="0.25">
      <c r="A33" s="126" t="s">
        <v>5</v>
      </c>
      <c r="B33" s="76"/>
      <c r="C33" s="136"/>
      <c r="D33" s="140"/>
      <c r="E33" s="141"/>
      <c r="F33" s="141"/>
      <c r="G33" s="141"/>
      <c r="H33" s="141"/>
      <c r="I33" s="141"/>
      <c r="J33" s="141"/>
      <c r="K33" s="142"/>
    </row>
    <row r="34" spans="1:11" ht="36" x14ac:dyDescent="0.25">
      <c r="A34" s="148" t="s">
        <v>6</v>
      </c>
      <c r="B34" s="149"/>
      <c r="C34" s="77" t="s">
        <v>7</v>
      </c>
      <c r="D34" s="77" t="s">
        <v>16</v>
      </c>
      <c r="E34" s="77"/>
      <c r="F34" s="77"/>
      <c r="G34" s="91"/>
      <c r="H34" s="91"/>
      <c r="I34" s="92"/>
      <c r="J34" s="81" t="s">
        <v>23</v>
      </c>
      <c r="K34" s="77" t="s">
        <v>10</v>
      </c>
    </row>
    <row r="35" spans="1:11" s="99" customFormat="1" x14ac:dyDescent="0.25">
      <c r="A35" s="151" t="str">
        <f>A28</f>
        <v>RUA BRASÍLIA</v>
      </c>
      <c r="B35" s="152"/>
      <c r="C35" s="93"/>
      <c r="D35" s="97">
        <f>D28</f>
        <v>1111.58</v>
      </c>
      <c r="E35" s="94"/>
      <c r="F35" s="95"/>
      <c r="G35" s="98"/>
      <c r="H35" s="98"/>
      <c r="I35" s="98"/>
      <c r="J35" s="87">
        <f>D35</f>
        <v>1111.58</v>
      </c>
      <c r="K35" s="143"/>
    </row>
    <row r="36" spans="1:11" s="99" customFormat="1" x14ac:dyDescent="0.25">
      <c r="A36" s="151" t="str">
        <f>A29</f>
        <v>RUA RIO GRANDE DO NORTE</v>
      </c>
      <c r="B36" s="152"/>
      <c r="C36" s="93"/>
      <c r="D36" s="97">
        <f>D29</f>
        <v>179.54</v>
      </c>
      <c r="E36" s="94"/>
      <c r="F36" s="95"/>
      <c r="G36" s="98"/>
      <c r="H36" s="98"/>
      <c r="I36" s="98"/>
      <c r="J36" s="87">
        <f>D36</f>
        <v>179.54</v>
      </c>
      <c r="K36" s="143"/>
    </row>
    <row r="37" spans="1:11" x14ac:dyDescent="0.25">
      <c r="A37" s="145" t="s">
        <v>11</v>
      </c>
      <c r="B37" s="146"/>
      <c r="C37" s="146"/>
      <c r="D37" s="146"/>
      <c r="E37" s="146"/>
      <c r="F37" s="146"/>
      <c r="G37" s="146"/>
      <c r="H37" s="146"/>
      <c r="I37" s="147"/>
      <c r="J37" s="88">
        <f>ROUND(SUM(J35:J36),2)</f>
        <v>1291.1199999999999</v>
      </c>
      <c r="K37" s="144"/>
    </row>
    <row r="38" spans="1:11" x14ac:dyDescent="0.25">
      <c r="A38" s="124"/>
      <c r="B38" s="71"/>
      <c r="C38" s="72"/>
      <c r="D38" s="72"/>
      <c r="E38" s="72"/>
      <c r="F38" s="72"/>
      <c r="G38" s="72"/>
      <c r="H38" s="72"/>
      <c r="I38" s="72"/>
      <c r="J38" s="73"/>
      <c r="K38" s="125"/>
    </row>
    <row r="39" spans="1:11" x14ac:dyDescent="0.25">
      <c r="A39" s="126" t="s">
        <v>4</v>
      </c>
      <c r="B39" s="75"/>
      <c r="C39" s="136"/>
      <c r="D39" s="137" t="s">
        <v>22</v>
      </c>
      <c r="E39" s="138"/>
      <c r="F39" s="138"/>
      <c r="G39" s="138"/>
      <c r="H39" s="138"/>
      <c r="I39" s="138"/>
      <c r="J39" s="138"/>
      <c r="K39" s="139"/>
    </row>
    <row r="40" spans="1:11" x14ac:dyDescent="0.25">
      <c r="A40" s="126" t="s">
        <v>5</v>
      </c>
      <c r="B40" s="76"/>
      <c r="C40" s="136"/>
      <c r="D40" s="140"/>
      <c r="E40" s="141"/>
      <c r="F40" s="141"/>
      <c r="G40" s="141"/>
      <c r="H40" s="141"/>
      <c r="I40" s="141"/>
      <c r="J40" s="141"/>
      <c r="K40" s="142"/>
    </row>
    <row r="41" spans="1:11" ht="36" x14ac:dyDescent="0.25">
      <c r="A41" s="148" t="s">
        <v>6</v>
      </c>
      <c r="B41" s="149"/>
      <c r="C41" s="77" t="s">
        <v>7</v>
      </c>
      <c r="D41" s="77" t="s">
        <v>16</v>
      </c>
      <c r="E41" s="77"/>
      <c r="F41" s="77"/>
      <c r="G41" s="91"/>
      <c r="H41" s="91"/>
      <c r="I41" s="92"/>
      <c r="J41" s="81" t="s">
        <v>23</v>
      </c>
      <c r="K41" s="77" t="s">
        <v>10</v>
      </c>
    </row>
    <row r="42" spans="1:11" x14ac:dyDescent="0.25">
      <c r="A42" s="153" t="str">
        <f>A35</f>
        <v>RUA BRASÍLIA</v>
      </c>
      <c r="B42" s="154"/>
      <c r="C42" s="85" t="s">
        <v>131</v>
      </c>
      <c r="D42" s="100">
        <f>16.24+6.4+4.78+11.15+15.85+7.51</f>
        <v>61.93</v>
      </c>
      <c r="E42" s="94"/>
      <c r="F42" s="95"/>
      <c r="G42" s="79"/>
      <c r="H42" s="79"/>
      <c r="I42" s="79"/>
      <c r="J42" s="87">
        <f>D42</f>
        <v>61.93</v>
      </c>
      <c r="K42" s="143" t="s">
        <v>24</v>
      </c>
    </row>
    <row r="43" spans="1:11" x14ac:dyDescent="0.25">
      <c r="A43" s="153" t="str">
        <f>A36</f>
        <v>RUA RIO GRANDE DO NORTE</v>
      </c>
      <c r="B43" s="154"/>
      <c r="C43" s="86"/>
      <c r="D43" s="100">
        <v>7</v>
      </c>
      <c r="E43" s="94"/>
      <c r="F43" s="95"/>
      <c r="G43" s="79"/>
      <c r="H43" s="79"/>
      <c r="I43" s="79"/>
      <c r="J43" s="87">
        <f t="shared" ref="J43" si="0">D43</f>
        <v>7</v>
      </c>
      <c r="K43" s="143"/>
    </row>
    <row r="44" spans="1:11" x14ac:dyDescent="0.25">
      <c r="A44" s="145" t="s">
        <v>11</v>
      </c>
      <c r="B44" s="146"/>
      <c r="C44" s="146"/>
      <c r="D44" s="146"/>
      <c r="E44" s="146"/>
      <c r="F44" s="146"/>
      <c r="G44" s="146"/>
      <c r="H44" s="146"/>
      <c r="I44" s="147"/>
      <c r="J44" s="88">
        <f>ROUND(SUM(J42:J43),2)</f>
        <v>68.930000000000007</v>
      </c>
      <c r="K44" s="144"/>
    </row>
    <row r="45" spans="1:11" x14ac:dyDescent="0.25">
      <c r="A45" s="130"/>
      <c r="K45" s="131"/>
    </row>
    <row r="46" spans="1:11" x14ac:dyDescent="0.25">
      <c r="A46" s="130"/>
      <c r="K46" s="131"/>
    </row>
    <row r="47" spans="1:11" x14ac:dyDescent="0.25">
      <c r="A47" s="130"/>
      <c r="B47" s="150"/>
      <c r="C47" s="150"/>
      <c r="D47" s="150"/>
      <c r="F47" s="150"/>
      <c r="G47" s="150"/>
      <c r="H47" s="150"/>
      <c r="I47" s="150"/>
      <c r="K47" s="131"/>
    </row>
    <row r="48" spans="1:11" ht="19.899999999999999" customHeight="1" x14ac:dyDescent="0.25">
      <c r="A48" s="130"/>
      <c r="B48" s="155" t="str">
        <f>ORÇAMENTO!C22</f>
        <v>GABRIEL VINICIUS MARTINS</v>
      </c>
      <c r="C48" s="155"/>
      <c r="D48" s="155"/>
      <c r="F48" s="155" t="s">
        <v>127</v>
      </c>
      <c r="G48" s="155"/>
      <c r="H48" s="155"/>
      <c r="I48" s="155"/>
      <c r="K48" s="131"/>
    </row>
    <row r="49" spans="1:11" ht="14.45" customHeight="1" x14ac:dyDescent="0.25">
      <c r="A49" s="130"/>
      <c r="B49" s="156" t="str">
        <f>ORÇAMENTO!C23</f>
        <v>ENGENHEIRO CIVIL - CREA Nº 230.779/D</v>
      </c>
      <c r="C49" s="156"/>
      <c r="D49" s="156"/>
      <c r="F49" s="156" t="s">
        <v>129</v>
      </c>
      <c r="G49" s="156"/>
      <c r="H49" s="156"/>
      <c r="I49" s="156"/>
      <c r="K49" s="131"/>
    </row>
    <row r="50" spans="1:11" x14ac:dyDescent="0.25">
      <c r="A50" s="132"/>
      <c r="B50" s="133"/>
      <c r="C50" s="133"/>
      <c r="D50" s="133"/>
      <c r="E50" s="133"/>
      <c r="F50" s="133"/>
      <c r="G50" s="133"/>
      <c r="H50" s="133"/>
      <c r="I50" s="133"/>
      <c r="J50" s="133"/>
      <c r="K50" s="134"/>
    </row>
  </sheetData>
  <mergeCells count="46">
    <mergeCell ref="A19:B19"/>
    <mergeCell ref="K19:K21"/>
    <mergeCell ref="A21:I21"/>
    <mergeCell ref="A28:B28"/>
    <mergeCell ref="K28:K30"/>
    <mergeCell ref="A27:B27"/>
    <mergeCell ref="B23:K23"/>
    <mergeCell ref="C25:C26"/>
    <mergeCell ref="D25:K26"/>
    <mergeCell ref="A20:B20"/>
    <mergeCell ref="A29:B29"/>
    <mergeCell ref="A30:I30"/>
    <mergeCell ref="B14:K14"/>
    <mergeCell ref="C16:C17"/>
    <mergeCell ref="D16:K17"/>
    <mergeCell ref="A18:B18"/>
    <mergeCell ref="A10:B10"/>
    <mergeCell ref="K11:K12"/>
    <mergeCell ref="A12:I12"/>
    <mergeCell ref="A1:K1"/>
    <mergeCell ref="B2:K2"/>
    <mergeCell ref="B3:K3"/>
    <mergeCell ref="B6:K6"/>
    <mergeCell ref="C8:C9"/>
    <mergeCell ref="D8:K9"/>
    <mergeCell ref="B4:I4"/>
    <mergeCell ref="B48:D48"/>
    <mergeCell ref="B49:D49"/>
    <mergeCell ref="F48:I48"/>
    <mergeCell ref="F49:I49"/>
    <mergeCell ref="F47:I47"/>
    <mergeCell ref="B47:D47"/>
    <mergeCell ref="A35:B35"/>
    <mergeCell ref="K35:K37"/>
    <mergeCell ref="A37:I37"/>
    <mergeCell ref="A43:B43"/>
    <mergeCell ref="A42:B42"/>
    <mergeCell ref="C39:C40"/>
    <mergeCell ref="D39:K40"/>
    <mergeCell ref="A36:B36"/>
    <mergeCell ref="C32:C33"/>
    <mergeCell ref="D32:K33"/>
    <mergeCell ref="K42:K44"/>
    <mergeCell ref="A44:I44"/>
    <mergeCell ref="A41:B41"/>
    <mergeCell ref="A34:B34"/>
  </mergeCells>
  <phoneticPr fontId="2" type="noConversion"/>
  <pageMargins left="1" right="1" top="1" bottom="1" header="0.5" footer="0.5"/>
  <pageSetup paperSize="9" scale="40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87BB-51A3-4B3A-8A38-8F2CEA937CFD}">
  <sheetPr>
    <pageSetUpPr fitToPage="1"/>
  </sheetPr>
  <dimension ref="A1:BU23"/>
  <sheetViews>
    <sheetView view="pageBreakPreview" zoomScaleNormal="100" zoomScaleSheetLayoutView="100" workbookViewId="0">
      <selection activeCell="D14" sqref="D14"/>
    </sheetView>
  </sheetViews>
  <sheetFormatPr defaultColWidth="8.85546875" defaultRowHeight="13.5" x14ac:dyDescent="0.25"/>
  <cols>
    <col min="1" max="1" width="12.7109375" style="45" customWidth="1"/>
    <col min="2" max="2" width="12.85546875" style="45" customWidth="1"/>
    <col min="3" max="3" width="66.42578125" style="45" customWidth="1"/>
    <col min="4" max="4" width="12.85546875" style="45" customWidth="1"/>
    <col min="5" max="5" width="8.85546875" style="45"/>
    <col min="6" max="6" width="15.28515625" style="45" customWidth="1"/>
    <col min="7" max="8" width="13.28515625" style="45" bestFit="1" customWidth="1"/>
    <col min="9" max="9" width="15.28515625" style="45" customWidth="1"/>
    <col min="10" max="10" width="17.7109375" style="45" customWidth="1"/>
    <col min="11" max="16384" width="8.85546875" style="45"/>
  </cols>
  <sheetData>
    <row r="1" spans="1:73" s="37" customFormat="1" ht="38.25" customHeight="1" x14ac:dyDescent="0.2">
      <c r="A1" s="172" t="s">
        <v>89</v>
      </c>
      <c r="B1" s="173"/>
      <c r="C1" s="173"/>
      <c r="D1" s="173"/>
      <c r="E1" s="173"/>
      <c r="F1" s="173"/>
      <c r="G1" s="173"/>
      <c r="H1" s="173"/>
      <c r="I1" s="173"/>
      <c r="J1" s="174"/>
    </row>
    <row r="2" spans="1:73" s="40" customFormat="1" ht="21" customHeight="1" x14ac:dyDescent="0.25">
      <c r="A2" s="38" t="s">
        <v>1</v>
      </c>
      <c r="B2" s="175" t="s">
        <v>143</v>
      </c>
      <c r="C2" s="175"/>
      <c r="D2" s="175"/>
      <c r="E2" s="175"/>
      <c r="F2" s="175"/>
      <c r="G2" s="175"/>
      <c r="H2" s="175"/>
      <c r="I2" s="175"/>
      <c r="J2" s="175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</row>
    <row r="3" spans="1:73" s="40" customFormat="1" ht="32.450000000000003" customHeight="1" x14ac:dyDescent="0.25">
      <c r="A3" s="38" t="s">
        <v>7</v>
      </c>
      <c r="B3" s="175" t="s">
        <v>153</v>
      </c>
      <c r="C3" s="175"/>
      <c r="D3" s="175"/>
      <c r="E3" s="175"/>
      <c r="F3" s="175"/>
      <c r="G3" s="175"/>
      <c r="H3" s="175"/>
      <c r="I3" s="175"/>
      <c r="J3" s="175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73" s="40" customFormat="1" ht="21.6" customHeight="1" x14ac:dyDescent="0.25">
      <c r="A4" s="41" t="s">
        <v>2</v>
      </c>
      <c r="B4" s="175" t="s">
        <v>154</v>
      </c>
      <c r="C4" s="175"/>
      <c r="D4" s="175"/>
      <c r="E4" s="175"/>
      <c r="F4" s="175"/>
      <c r="G4" s="175"/>
      <c r="H4" s="175"/>
      <c r="I4" s="175"/>
      <c r="J4" s="175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</row>
    <row r="5" spans="1:73" s="40" customFormat="1" ht="29.45" customHeight="1" x14ac:dyDescent="0.25">
      <c r="A5" s="38" t="s">
        <v>90</v>
      </c>
      <c r="B5" s="178" t="s">
        <v>92</v>
      </c>
      <c r="C5" s="179"/>
      <c r="D5" s="179"/>
      <c r="E5" s="179"/>
      <c r="F5" s="180"/>
      <c r="G5" s="42" t="s">
        <v>91</v>
      </c>
      <c r="H5" s="66">
        <v>0.2356</v>
      </c>
      <c r="I5" s="42" t="s">
        <v>13</v>
      </c>
      <c r="J5" s="43">
        <f ca="1">TODAY()</f>
        <v>46206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44"/>
      <c r="BS5" s="44"/>
      <c r="BT5" s="44"/>
      <c r="BU5" s="44"/>
    </row>
    <row r="6" spans="1:73" ht="12" customHeight="1" x14ac:dyDescent="0.25">
      <c r="A6" s="177" t="s">
        <v>66</v>
      </c>
      <c r="B6" s="177" t="s">
        <v>67</v>
      </c>
      <c r="C6" s="177" t="s">
        <v>7</v>
      </c>
      <c r="D6" s="177" t="s">
        <v>68</v>
      </c>
      <c r="E6" s="177" t="s">
        <v>69</v>
      </c>
      <c r="F6" s="177" t="s">
        <v>70</v>
      </c>
      <c r="G6" s="177" t="s">
        <v>71</v>
      </c>
      <c r="H6" s="177"/>
      <c r="I6" s="177" t="s">
        <v>72</v>
      </c>
      <c r="J6" s="177"/>
    </row>
    <row r="7" spans="1:73" ht="10.15" customHeight="1" x14ac:dyDescent="0.25">
      <c r="A7" s="177"/>
      <c r="B7" s="177"/>
      <c r="C7" s="177"/>
      <c r="D7" s="177"/>
      <c r="E7" s="177"/>
      <c r="F7" s="177"/>
      <c r="G7" s="46" t="s">
        <v>73</v>
      </c>
      <c r="H7" s="46" t="s">
        <v>74</v>
      </c>
      <c r="I7" s="46" t="s">
        <v>73</v>
      </c>
      <c r="J7" s="46" t="s">
        <v>74</v>
      </c>
    </row>
    <row r="8" spans="1:73" ht="19.899999999999999" customHeight="1" x14ac:dyDescent="0.25">
      <c r="A8" s="54" t="s">
        <v>75</v>
      </c>
      <c r="B8" s="176" t="s">
        <v>3</v>
      </c>
      <c r="C8" s="176"/>
      <c r="D8" s="176"/>
      <c r="E8" s="176"/>
      <c r="F8" s="176"/>
      <c r="G8" s="176">
        <f>ROUND(F9*G9,2)</f>
        <v>1179.4100000000001</v>
      </c>
      <c r="H8" s="176"/>
      <c r="I8" s="55">
        <f>ROUND(SUM(I9:I9),2)</f>
        <v>1179.4100000000001</v>
      </c>
      <c r="J8" s="55">
        <f>ROUND(SUM(J9:J9),2)</f>
        <v>1457.28</v>
      </c>
    </row>
    <row r="9" spans="1:73" ht="69.599999999999994" customHeight="1" x14ac:dyDescent="0.25">
      <c r="A9" s="49" t="s">
        <v>76</v>
      </c>
      <c r="B9" s="49" t="s">
        <v>77</v>
      </c>
      <c r="C9" s="48" t="s">
        <v>26</v>
      </c>
      <c r="D9" s="49" t="s">
        <v>78</v>
      </c>
      <c r="E9" s="49" t="s">
        <v>79</v>
      </c>
      <c r="F9" s="50">
        <v>1</v>
      </c>
      <c r="G9" s="51">
        <v>1179.4100000000001</v>
      </c>
      <c r="H9" s="51">
        <f>ROUND(G9 * ROUND(1 + (23.56/100),4),2)</f>
        <v>1457.28</v>
      </c>
      <c r="I9" s="51">
        <f>ROUND(ROUND(F9,2)*ROUND(G9,2),2)</f>
        <v>1179.4100000000001</v>
      </c>
      <c r="J9" s="51">
        <f>ROUND(ROUND(F9,2)* ROUND(H9,2),2)</f>
        <v>1457.28</v>
      </c>
    </row>
    <row r="10" spans="1:73" ht="19.899999999999999" customHeight="1" x14ac:dyDescent="0.25">
      <c r="A10" s="54" t="s">
        <v>15</v>
      </c>
      <c r="B10" s="176" t="s">
        <v>27</v>
      </c>
      <c r="C10" s="176"/>
      <c r="D10" s="176"/>
      <c r="E10" s="176"/>
      <c r="F10" s="176"/>
      <c r="G10" s="176">
        <f>ROUND(F11*G11,2)</f>
        <v>419335.82</v>
      </c>
      <c r="H10" s="176"/>
      <c r="I10" s="55">
        <f>ROUND(SUM(I11:I11),2)</f>
        <v>419340.3</v>
      </c>
      <c r="J10" s="55">
        <f>ROUND(SUM(J11:J11),2)</f>
        <v>518111.27</v>
      </c>
    </row>
    <row r="11" spans="1:73" ht="47.45" customHeight="1" x14ac:dyDescent="0.25">
      <c r="A11" s="48" t="s">
        <v>80</v>
      </c>
      <c r="B11" s="49">
        <v>92394</v>
      </c>
      <c r="C11" s="48" t="s">
        <v>83</v>
      </c>
      <c r="D11" s="49" t="s">
        <v>81</v>
      </c>
      <c r="E11" s="49" t="s">
        <v>82</v>
      </c>
      <c r="F11" s="50">
        <f>'MEMÓRIA CAL.'!J21</f>
        <v>4475.3500000000004</v>
      </c>
      <c r="G11" s="51">
        <f>104.11*0.9</f>
        <v>93.698999999999998</v>
      </c>
      <c r="H11" s="51">
        <f>ROUND(G11 * ROUND(1 + (23.56/100),4),2)</f>
        <v>115.77</v>
      </c>
      <c r="I11" s="51">
        <f>ROUND(ROUND(F11,2)*ROUND(G11,2),2)</f>
        <v>419340.3</v>
      </c>
      <c r="J11" s="51">
        <f>ROUND(ROUND(F11,2)* ROUND(H11,2),2)</f>
        <v>518111.27</v>
      </c>
    </row>
    <row r="12" spans="1:73" ht="19.899999999999999" customHeight="1" x14ac:dyDescent="0.25">
      <c r="A12" s="54" t="s">
        <v>17</v>
      </c>
      <c r="B12" s="176" t="s">
        <v>21</v>
      </c>
      <c r="C12" s="176"/>
      <c r="D12" s="176"/>
      <c r="E12" s="176"/>
      <c r="F12" s="176"/>
      <c r="G12" s="176">
        <f>ROUND(F13*G13,2)+ROUND(F14*G14,2)+ROUND(F15*G15,2)</f>
        <v>128931.70999999999</v>
      </c>
      <c r="H12" s="176"/>
      <c r="I12" s="55">
        <f>ROUND(SUM(I13:I15),2)</f>
        <v>128939.47</v>
      </c>
      <c r="J12" s="55">
        <f>ROUND(SUM(J13:J15),2)</f>
        <v>159309.68</v>
      </c>
    </row>
    <row r="13" spans="1:73" ht="56.45" customHeight="1" x14ac:dyDescent="0.25">
      <c r="A13" s="48" t="s">
        <v>85</v>
      </c>
      <c r="B13" s="49">
        <v>94275</v>
      </c>
      <c r="C13" s="48" t="s">
        <v>128</v>
      </c>
      <c r="D13" s="49" t="s">
        <v>81</v>
      </c>
      <c r="E13" s="49" t="s">
        <v>84</v>
      </c>
      <c r="F13" s="50">
        <f>'MEMÓRIA CAL.'!J30</f>
        <v>1291.1199999999999</v>
      </c>
      <c r="G13" s="50">
        <f>60.62*0.9</f>
        <v>54.558</v>
      </c>
      <c r="H13" s="51">
        <f>ROUND(G13 * ROUND(1 + (23.56/100),4),2)</f>
        <v>67.41</v>
      </c>
      <c r="I13" s="51">
        <f>ROUND(ROUND(F13,2)*ROUND(G13,2),2)</f>
        <v>70443.509999999995</v>
      </c>
      <c r="J13" s="51">
        <f>ROUND(ROUND(F13,2)* ROUND(H13,2),2)</f>
        <v>87034.4</v>
      </c>
    </row>
    <row r="14" spans="1:73" ht="44.45" customHeight="1" x14ac:dyDescent="0.25">
      <c r="A14" s="48" t="s">
        <v>132</v>
      </c>
      <c r="B14" s="49">
        <v>94289</v>
      </c>
      <c r="C14" s="48" t="s">
        <v>126</v>
      </c>
      <c r="D14" s="49" t="s">
        <v>81</v>
      </c>
      <c r="E14" s="49" t="s">
        <v>84</v>
      </c>
      <c r="F14" s="50">
        <f>'MEMÓRIA CAL.'!J37</f>
        <v>1291.1199999999999</v>
      </c>
      <c r="G14" s="50">
        <f>46.74*0.9</f>
        <v>42.066000000000003</v>
      </c>
      <c r="H14" s="51">
        <f>ROUND(G14 * ROUND(1 + (23.56/100),4),2)</f>
        <v>51.98</v>
      </c>
      <c r="I14" s="51">
        <f>ROUND(ROUND(F14,2)*ROUND(G14,2),2)</f>
        <v>54317.42</v>
      </c>
      <c r="J14" s="51">
        <f>ROUND(ROUND(F14,2)* ROUND(H14,2),2)</f>
        <v>67112.42</v>
      </c>
    </row>
    <row r="15" spans="1:73" ht="68.45" customHeight="1" x14ac:dyDescent="0.25">
      <c r="A15" s="48" t="s">
        <v>133</v>
      </c>
      <c r="B15" s="49">
        <v>94275</v>
      </c>
      <c r="C15" s="48" t="s">
        <v>128</v>
      </c>
      <c r="D15" s="49" t="s">
        <v>81</v>
      </c>
      <c r="E15" s="49" t="s">
        <v>84</v>
      </c>
      <c r="F15" s="50">
        <f>'MEMÓRIA CAL.'!J44</f>
        <v>68.930000000000007</v>
      </c>
      <c r="G15" s="50">
        <v>60.62</v>
      </c>
      <c r="H15" s="51">
        <f>ROUND(G15 * ROUND(1 + (23.56/100),4),2)</f>
        <v>74.900000000000006</v>
      </c>
      <c r="I15" s="51">
        <f>ROUND(ROUND(F15,2)*ROUND(G15,2),2)</f>
        <v>4178.54</v>
      </c>
      <c r="J15" s="51">
        <f>ROUND(ROUND(F15,2)* ROUND(H15,2),2)</f>
        <v>5162.8599999999997</v>
      </c>
      <c r="L15" s="45">
        <v>670135.79</v>
      </c>
    </row>
    <row r="16" spans="1:73" ht="15" customHeight="1" x14ac:dyDescent="0.25">
      <c r="A16" s="52"/>
      <c r="B16" s="52"/>
      <c r="C16" s="52"/>
      <c r="D16" s="52"/>
      <c r="E16" s="52"/>
      <c r="F16" s="52"/>
      <c r="G16" s="52"/>
      <c r="H16" s="181" t="s">
        <v>86</v>
      </c>
      <c r="I16" s="181"/>
      <c r="J16" s="47">
        <f>(J8-I8)+(J10-I10)+(J12-I12)</f>
        <v>129419.05000000002</v>
      </c>
    </row>
    <row r="17" spans="1:10" ht="15" customHeight="1" x14ac:dyDescent="0.25">
      <c r="A17" s="52"/>
      <c r="B17" s="52"/>
      <c r="C17" s="52"/>
      <c r="D17" s="52"/>
      <c r="E17" s="52"/>
      <c r="F17" s="52"/>
      <c r="G17" s="52"/>
      <c r="H17" s="181" t="s">
        <v>87</v>
      </c>
      <c r="I17" s="181"/>
      <c r="J17" s="47">
        <f>I8+I10+I12</f>
        <v>549459.17999999993</v>
      </c>
    </row>
    <row r="18" spans="1:10" ht="15" customHeight="1" x14ac:dyDescent="0.25">
      <c r="A18" s="52"/>
      <c r="B18" s="52"/>
      <c r="C18" s="52"/>
      <c r="D18" s="52"/>
      <c r="E18" s="52"/>
      <c r="F18" s="52"/>
      <c r="G18" s="52"/>
      <c r="H18" s="181" t="s">
        <v>88</v>
      </c>
      <c r="I18" s="181"/>
      <c r="J18" s="53">
        <f>J16+J17</f>
        <v>678878.23</v>
      </c>
    </row>
    <row r="21" spans="1:10" x14ac:dyDescent="0.25">
      <c r="C21" s="118"/>
      <c r="D21" s="1"/>
      <c r="E21" s="1"/>
      <c r="F21" s="118"/>
      <c r="G21" s="118"/>
      <c r="H21" s="118"/>
      <c r="I21" s="118"/>
      <c r="J21" s="1"/>
    </row>
    <row r="22" spans="1:10" ht="14.45" customHeight="1" x14ac:dyDescent="0.25">
      <c r="C22" s="102" t="s">
        <v>150</v>
      </c>
      <c r="D22" s="56"/>
      <c r="E22" s="56"/>
      <c r="F22" s="182" t="s">
        <v>127</v>
      </c>
      <c r="G22" s="182"/>
      <c r="H22" s="182"/>
      <c r="I22" s="182"/>
      <c r="J22" s="56"/>
    </row>
    <row r="23" spans="1:10" ht="14.45" customHeight="1" x14ac:dyDescent="0.25">
      <c r="C23" s="101" t="s">
        <v>151</v>
      </c>
      <c r="D23" s="1"/>
      <c r="E23" s="1"/>
      <c r="F23" s="183" t="s">
        <v>129</v>
      </c>
      <c r="G23" s="183"/>
      <c r="H23" s="183"/>
      <c r="I23" s="183"/>
      <c r="J23" s="1"/>
    </row>
  </sheetData>
  <mergeCells count="21">
    <mergeCell ref="H17:I17"/>
    <mergeCell ref="H18:I18"/>
    <mergeCell ref="F6:F7"/>
    <mergeCell ref="F22:I22"/>
    <mergeCell ref="F23:I23"/>
    <mergeCell ref="B12:H12"/>
    <mergeCell ref="H16:I16"/>
    <mergeCell ref="A1:J1"/>
    <mergeCell ref="B2:J2"/>
    <mergeCell ref="B3:J3"/>
    <mergeCell ref="B4:J4"/>
    <mergeCell ref="B10:H10"/>
    <mergeCell ref="G6:H6"/>
    <mergeCell ref="I6:J6"/>
    <mergeCell ref="B8:H8"/>
    <mergeCell ref="B5:F5"/>
    <mergeCell ref="A6:A7"/>
    <mergeCell ref="B6:B7"/>
    <mergeCell ref="C6:C7"/>
    <mergeCell ref="D6:D7"/>
    <mergeCell ref="E6:E7"/>
  </mergeCells>
  <phoneticPr fontId="2" type="noConversion"/>
  <pageMargins left="0.511811024" right="0.511811024" top="0.78740157499999996" bottom="0.78740157499999996" header="0.31496062000000002" footer="0.31496062000000002"/>
  <pageSetup paperSize="9" scale="7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FEAF-4A2C-4302-B48D-1D6E0C79EA71}">
  <sheetPr>
    <pageSetUpPr fitToPage="1"/>
  </sheetPr>
  <dimension ref="A1:T42"/>
  <sheetViews>
    <sheetView view="pageBreakPreview" zoomScale="130" zoomScaleNormal="145" zoomScaleSheetLayoutView="130" workbookViewId="0">
      <selection activeCell="L11" sqref="L11"/>
    </sheetView>
  </sheetViews>
  <sheetFormatPr defaultRowHeight="15" x14ac:dyDescent="0.25"/>
  <cols>
    <col min="1" max="1" width="13.85546875" customWidth="1"/>
  </cols>
  <sheetData>
    <row r="1" spans="1:20" ht="15" customHeight="1" x14ac:dyDescent="0.25">
      <c r="A1" s="185" t="s">
        <v>152</v>
      </c>
      <c r="B1" s="185"/>
      <c r="C1" s="185"/>
      <c r="D1" s="185"/>
      <c r="E1" s="185"/>
      <c r="F1" s="185"/>
      <c r="G1" s="185"/>
      <c r="H1" s="185"/>
      <c r="I1" s="185"/>
      <c r="J1" s="18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0" ht="15" customHeight="1" x14ac:dyDescent="0.25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ht="15" customHeight="1" x14ac:dyDescent="0.25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5" customHeight="1" x14ac:dyDescent="0.25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ht="38.25" customHeight="1" x14ac:dyDescent="0.25">
      <c r="A5" s="38" t="s">
        <v>1</v>
      </c>
      <c r="B5" s="175" t="str">
        <f>ORÇAMENTO!B2</f>
        <v xml:space="preserve"> CALÇAMENTO EM BLOCOS SEXTAVADOS DA RUA PEDRALVA NO BAIRRO VILA INDUSTRIAL E RUA GRANDE DO NORTE NO BAIRRO PLANALTO, NA SEDE DO MUNICÍPIO DE JAPONVAR/MG.</v>
      </c>
      <c r="C5" s="175"/>
      <c r="D5" s="175"/>
      <c r="E5" s="175"/>
      <c r="F5" s="175"/>
      <c r="G5" s="175"/>
      <c r="H5" s="175"/>
      <c r="I5" s="175"/>
      <c r="J5" s="175"/>
    </row>
    <row r="6" spans="1:20" ht="56.25" customHeight="1" x14ac:dyDescent="0.25">
      <c r="A6" s="38" t="s">
        <v>7</v>
      </c>
      <c r="B6" s="175" t="str">
        <f>ORÇAMENTO!B3</f>
        <v>ELABORAÇÃO DE PROJETOS, PLANILHA ORÇAMENTÁRIA E CRONOGRAMA E DEMAIS DOCUMENTAÇÕES NECESSÁRIOS PARA O CALÇAMENTO EM BLOCO SEXTAVADO DA RUA PEDRALVA NO BAIRRO VILA INDUSTRIAL E RUA GRANDE DO NORTE NO BAIRRO PLANALTO, NO MUNICIPIO DE JAPONVAR-MG</v>
      </c>
      <c r="C6" s="175"/>
      <c r="D6" s="175"/>
      <c r="E6" s="175"/>
      <c r="F6" s="175"/>
      <c r="G6" s="175"/>
      <c r="H6" s="175"/>
      <c r="I6" s="175"/>
      <c r="J6" s="175"/>
    </row>
    <row r="7" spans="1:20" ht="33.75" customHeight="1" x14ac:dyDescent="0.25">
      <c r="A7" s="41" t="s">
        <v>2</v>
      </c>
      <c r="B7" s="175" t="str">
        <f>ORÇAMENTO!B4</f>
        <v>RUA PEDRALVA NO BAIRRO VILA INDUSTRIAL E RUA GRANDE DO NORTE NO BAIRRO PLANALTO, MUNICÍPIO DE JAPONVAR/MG</v>
      </c>
      <c r="C7" s="175"/>
      <c r="D7" s="175"/>
      <c r="E7" s="175"/>
      <c r="F7" s="175"/>
      <c r="G7" s="175"/>
      <c r="H7" s="175"/>
      <c r="I7" s="175"/>
      <c r="J7" s="175"/>
    </row>
    <row r="39" spans="3:7" x14ac:dyDescent="0.25">
      <c r="C39" s="187"/>
      <c r="D39" s="187"/>
      <c r="E39" s="187"/>
      <c r="F39" s="187"/>
      <c r="G39" s="187"/>
    </row>
    <row r="40" spans="3:7" x14ac:dyDescent="0.25">
      <c r="C40" s="184" t="str">
        <f>ORÇAMENTO!C22</f>
        <v>GABRIEL VINICIUS MARTINS</v>
      </c>
      <c r="D40" s="184"/>
      <c r="E40" s="184"/>
      <c r="F40" s="184"/>
      <c r="G40" s="184"/>
    </row>
    <row r="41" spans="3:7" x14ac:dyDescent="0.25">
      <c r="C41" s="184" t="str">
        <f>ORÇAMENTO!C23</f>
        <v>ENGENHEIRO CIVIL - CREA Nº 230.779/D</v>
      </c>
      <c r="D41" s="184"/>
      <c r="E41" s="184"/>
      <c r="F41" s="184"/>
      <c r="G41" s="184"/>
    </row>
    <row r="42" spans="3:7" x14ac:dyDescent="0.25">
      <c r="C42" s="184"/>
      <c r="D42" s="184"/>
      <c r="E42" s="184"/>
      <c r="F42" s="184"/>
      <c r="G42" s="184"/>
    </row>
  </sheetData>
  <mergeCells count="8">
    <mergeCell ref="A1:J4"/>
    <mergeCell ref="C39:G39"/>
    <mergeCell ref="C40:G40"/>
    <mergeCell ref="C41:G41"/>
    <mergeCell ref="C42:G42"/>
    <mergeCell ref="B5:J5"/>
    <mergeCell ref="B6:J6"/>
    <mergeCell ref="B7:J7"/>
  </mergeCells>
  <pageMargins left="0.7" right="0.7" top="0.75" bottom="0.75" header="0.3" footer="0.3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821B-601F-4354-8FE7-6C4FA38AF73E}">
  <sheetPr>
    <pageSetUpPr fitToPage="1"/>
  </sheetPr>
  <dimension ref="A1:BU25"/>
  <sheetViews>
    <sheetView view="pageBreakPreview" zoomScale="115" zoomScaleNormal="100" zoomScaleSheetLayoutView="115" workbookViewId="0">
      <selection activeCell="C18" sqref="C18"/>
    </sheetView>
  </sheetViews>
  <sheetFormatPr defaultRowHeight="15" x14ac:dyDescent="0.25"/>
  <cols>
    <col min="1" max="1" width="13.28515625" customWidth="1"/>
    <col min="2" max="2" width="27.7109375" customWidth="1"/>
    <col min="3" max="3" width="15.140625" customWidth="1"/>
    <col min="4" max="4" width="15.5703125" customWidth="1"/>
    <col min="5" max="5" width="14.7109375" customWidth="1"/>
    <col min="6" max="6" width="16.7109375" customWidth="1"/>
    <col min="7" max="7" width="15.140625" customWidth="1"/>
    <col min="8" max="8" width="11.5703125" customWidth="1"/>
    <col min="9" max="9" width="1.7109375" customWidth="1"/>
    <col min="10" max="10" width="11.7109375" customWidth="1"/>
  </cols>
  <sheetData>
    <row r="1" spans="1:73" s="37" customFormat="1" ht="31.5" customHeight="1" x14ac:dyDescent="0.2">
      <c r="A1" s="172" t="s">
        <v>142</v>
      </c>
      <c r="B1" s="173"/>
      <c r="C1" s="173"/>
      <c r="D1" s="173"/>
      <c r="E1" s="173"/>
      <c r="F1" s="173"/>
      <c r="G1" s="173"/>
      <c r="H1" s="173"/>
      <c r="I1" s="173"/>
      <c r="J1" s="103"/>
    </row>
    <row r="2" spans="1:73" s="40" customFormat="1" ht="26.45" customHeight="1" x14ac:dyDescent="0.25">
      <c r="A2" s="38" t="s">
        <v>1</v>
      </c>
      <c r="B2" s="175" t="str">
        <f>ORÇAMENTO!B2</f>
        <v xml:space="preserve"> CALÇAMENTO EM BLOCOS SEXTAVADOS DA RUA PEDRALVA NO BAIRRO VILA INDUSTRIAL E RUA GRANDE DO NORTE NO BAIRRO PLANALTO, NA SEDE DO MUNICÍPIO DE JAPONVAR/MG.</v>
      </c>
      <c r="C2" s="175"/>
      <c r="D2" s="175"/>
      <c r="E2" s="175"/>
      <c r="F2" s="175"/>
      <c r="G2" s="175"/>
      <c r="H2" s="175"/>
      <c r="I2" s="175"/>
      <c r="J2" s="113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</row>
    <row r="3" spans="1:73" s="40" customFormat="1" ht="40.9" customHeight="1" x14ac:dyDescent="0.25">
      <c r="A3" s="38" t="s">
        <v>7</v>
      </c>
      <c r="B3" s="175" t="str">
        <f>ORÇAMENTO!B3</f>
        <v>ELABORAÇÃO DE PROJETOS, PLANILHA ORÇAMENTÁRIA E CRONOGRAMA E DEMAIS DOCUMENTAÇÕES NECESSÁRIOS PARA O CALÇAMENTO EM BLOCO SEXTAVADO DA RUA PEDRALVA NO BAIRRO VILA INDUSTRIAL E RUA GRANDE DO NORTE NO BAIRRO PLANALTO, NO MUNICIPIO DE JAPONVAR-MG</v>
      </c>
      <c r="C3" s="175"/>
      <c r="D3" s="175"/>
      <c r="E3" s="175"/>
      <c r="F3" s="175"/>
      <c r="G3" s="175"/>
      <c r="H3" s="175"/>
      <c r="I3" s="175"/>
      <c r="J3" s="113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73" s="40" customFormat="1" ht="21.6" customHeight="1" x14ac:dyDescent="0.25">
      <c r="A4" s="41" t="s">
        <v>2</v>
      </c>
      <c r="B4" s="175" t="str">
        <f>ORÇAMENTO!B4</f>
        <v>RUA PEDRALVA NO BAIRRO VILA INDUSTRIAL E RUA GRANDE DO NORTE NO BAIRRO PLANALTO, MUNICÍPIO DE JAPONVAR/MG</v>
      </c>
      <c r="C4" s="175"/>
      <c r="D4" s="175"/>
      <c r="E4" s="175"/>
      <c r="F4" s="175"/>
      <c r="G4" s="175"/>
      <c r="H4" s="175"/>
      <c r="I4" s="175"/>
      <c r="J4" s="113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</row>
    <row r="5" spans="1:73" s="40" customFormat="1" ht="29.45" customHeight="1" x14ac:dyDescent="0.25">
      <c r="A5" s="38" t="s">
        <v>90</v>
      </c>
      <c r="B5" s="175" t="s">
        <v>92</v>
      </c>
      <c r="C5" s="175"/>
      <c r="D5" s="175"/>
      <c r="E5" s="175"/>
      <c r="F5" s="38" t="s">
        <v>91</v>
      </c>
      <c r="G5" s="117">
        <v>0.2356</v>
      </c>
      <c r="H5" s="188" t="s">
        <v>13</v>
      </c>
      <c r="I5" s="189"/>
      <c r="J5" s="44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44"/>
      <c r="BS5" s="44"/>
      <c r="BT5" s="44"/>
      <c r="BU5" s="44"/>
    </row>
    <row r="6" spans="1:73" x14ac:dyDescent="0.25">
      <c r="A6" s="114" t="s">
        <v>66</v>
      </c>
      <c r="B6" s="116" t="s">
        <v>7</v>
      </c>
      <c r="C6" s="116" t="s">
        <v>134</v>
      </c>
      <c r="D6" s="116" t="s">
        <v>135</v>
      </c>
      <c r="E6" s="116" t="s">
        <v>136</v>
      </c>
      <c r="F6" s="116" t="s">
        <v>137</v>
      </c>
      <c r="G6" s="116" t="s">
        <v>138</v>
      </c>
      <c r="H6" s="198" t="s">
        <v>139</v>
      </c>
      <c r="I6" s="199"/>
    </row>
    <row r="7" spans="1:73" ht="12" customHeight="1" x14ac:dyDescent="0.25">
      <c r="A7" s="196" t="s">
        <v>75</v>
      </c>
      <c r="B7" s="196" t="s">
        <v>3</v>
      </c>
      <c r="C7" s="197">
        <v>1457.28</v>
      </c>
      <c r="D7" s="104">
        <v>1</v>
      </c>
      <c r="E7" s="105"/>
      <c r="F7" s="105"/>
      <c r="G7" s="105"/>
      <c r="H7" s="194">
        <f t="shared" ref="H7:H12" si="0">SUM(D7:G7)</f>
        <v>1</v>
      </c>
      <c r="I7" s="195"/>
    </row>
    <row r="8" spans="1:73" ht="13.15" customHeight="1" x14ac:dyDescent="0.25">
      <c r="A8" s="196"/>
      <c r="B8" s="196"/>
      <c r="C8" s="197"/>
      <c r="D8" s="106">
        <f>IF(D7&gt;0,ROUND(C7*D7,2),"")</f>
        <v>1457.28</v>
      </c>
      <c r="E8" s="107" t="str">
        <f>IF(E7&gt;0,IF(AND(SUM(D7:E7)=1,H7=1),C7-SUM(D8:D8),ROUND(C7*E7,2)),"")</f>
        <v/>
      </c>
      <c r="F8" s="107" t="str">
        <f>IF(F7&gt;0,IF(AND(SUM(D7:F7)=1,H7=1),C7-SUM(D8:E8),ROUND(C7*F7,2)),"")</f>
        <v/>
      </c>
      <c r="G8" s="107" t="str">
        <f>IF(G7&gt;0,IF(AND(SUM(D7:G7)=1,H7=1),C7-SUM(D8:F8),ROUND(C7*G7,2)),"")</f>
        <v/>
      </c>
      <c r="H8" s="192">
        <f t="shared" si="0"/>
        <v>1457.28</v>
      </c>
      <c r="I8" s="193"/>
    </row>
    <row r="9" spans="1:73" ht="12" customHeight="1" x14ac:dyDescent="0.25">
      <c r="A9" s="196" t="s">
        <v>140</v>
      </c>
      <c r="B9" s="196" t="s">
        <v>27</v>
      </c>
      <c r="C9" s="197">
        <v>444980.52</v>
      </c>
      <c r="D9" s="104">
        <v>0.25</v>
      </c>
      <c r="E9" s="104">
        <v>0.25</v>
      </c>
      <c r="F9" s="104">
        <v>0.25</v>
      </c>
      <c r="G9" s="104">
        <v>0.25</v>
      </c>
      <c r="H9" s="194">
        <f t="shared" si="0"/>
        <v>1</v>
      </c>
      <c r="I9" s="195"/>
    </row>
    <row r="10" spans="1:73" ht="13.15" customHeight="1" x14ac:dyDescent="0.25">
      <c r="A10" s="196"/>
      <c r="B10" s="196"/>
      <c r="C10" s="197"/>
      <c r="D10" s="106">
        <f>IF(D9&gt;0,ROUND(C9*D9,2),"")</f>
        <v>111245.13</v>
      </c>
      <c r="E10" s="106">
        <f>IF(E9&gt;0,IF(AND(SUM(D9:E9)=1,H9=1),C9-SUM(D10:D10),ROUND(C9*E9,2)),"")</f>
        <v>111245.13</v>
      </c>
      <c r="F10" s="106">
        <f>IF(F9&gt;0,IF(AND(SUM(D9:F9)=1,H9=1),C9-SUM(D10:E10),ROUND(C9*F9,2)),"")</f>
        <v>111245.13</v>
      </c>
      <c r="G10" s="106">
        <f>IF(G9&gt;0,IF(AND(SUM(D9:G9)=1,H9=1),C9-SUM(D10:F10),ROUND(C9*G9,2)),"")</f>
        <v>111245.13</v>
      </c>
      <c r="H10" s="192">
        <f t="shared" si="0"/>
        <v>444980.52</v>
      </c>
      <c r="I10" s="193"/>
    </row>
    <row r="11" spans="1:73" ht="12" customHeight="1" x14ac:dyDescent="0.25">
      <c r="A11" s="196" t="s">
        <v>141</v>
      </c>
      <c r="B11" s="196" t="s">
        <v>21</v>
      </c>
      <c r="C11" s="197">
        <v>137350.1</v>
      </c>
      <c r="D11" s="104">
        <v>0.25</v>
      </c>
      <c r="E11" s="104">
        <v>0.25</v>
      </c>
      <c r="F11" s="104">
        <v>0.25</v>
      </c>
      <c r="G11" s="104">
        <v>0.25</v>
      </c>
      <c r="H11" s="194">
        <f t="shared" si="0"/>
        <v>1</v>
      </c>
      <c r="I11" s="195"/>
    </row>
    <row r="12" spans="1:73" ht="13.15" customHeight="1" x14ac:dyDescent="0.25">
      <c r="A12" s="196"/>
      <c r="B12" s="196"/>
      <c r="C12" s="197"/>
      <c r="D12" s="106">
        <f>IF(D11&gt;0,ROUND(C11*D11,2),"")</f>
        <v>34337.53</v>
      </c>
      <c r="E12" s="106">
        <f>IF(E11&gt;0,IF(AND(SUM(D11:E11)=1,H11=1),C11-SUM(D12:D12),ROUND(C11*E11,2)),"")</f>
        <v>34337.53</v>
      </c>
      <c r="F12" s="106">
        <f>IF(F11&gt;0,IF(AND(SUM(D11:F11)=1,H11=1),C11-SUM(D12:E12),ROUND(C11*F11,2)),"")</f>
        <v>34337.53</v>
      </c>
      <c r="G12" s="106">
        <f>IF(G11&gt;0,IF(AND(SUM(D11:G11)=1,H11=1),C11-SUM(D12:F12),ROUND(C11*G11,2)),"")</f>
        <v>34337.510000000009</v>
      </c>
      <c r="H12" s="192">
        <f t="shared" si="0"/>
        <v>137350.1</v>
      </c>
      <c r="I12" s="193"/>
    </row>
    <row r="13" spans="1:73" ht="12" customHeight="1" x14ac:dyDescent="0.25">
      <c r="A13" s="108"/>
      <c r="B13" s="109"/>
      <c r="C13" s="190">
        <f>SUM(C7,C9,C11)</f>
        <v>583787.9</v>
      </c>
      <c r="D13" s="110">
        <f>SUM(D8,D10,D12)</f>
        <v>147039.94</v>
      </c>
      <c r="E13" s="110">
        <f>SUM(E8,E10,E12)</f>
        <v>145582.66</v>
      </c>
      <c r="F13" s="110">
        <f>SUM(F8,F10,F12)</f>
        <v>145582.66</v>
      </c>
      <c r="G13" s="110">
        <f>SUM(G8,G10,G12)</f>
        <v>145582.64000000001</v>
      </c>
      <c r="H13" s="191">
        <f>G14</f>
        <v>583787.9</v>
      </c>
      <c r="I13" s="191"/>
    </row>
    <row r="14" spans="1:73" ht="13.15" customHeight="1" x14ac:dyDescent="0.25">
      <c r="A14" s="111"/>
      <c r="B14" s="112"/>
      <c r="C14" s="190"/>
      <c r="D14" s="106">
        <f>D13+C14</f>
        <v>147039.94</v>
      </c>
      <c r="E14" s="106">
        <f>E13+D14</f>
        <v>292622.59999999998</v>
      </c>
      <c r="F14" s="106">
        <f>F13+E14</f>
        <v>438205.26</v>
      </c>
      <c r="G14" s="106">
        <f>G13+F14</f>
        <v>583787.9</v>
      </c>
      <c r="H14" s="191"/>
      <c r="I14" s="191"/>
    </row>
    <row r="22" spans="2:8" x14ac:dyDescent="0.25">
      <c r="B22" s="187"/>
      <c r="C22" s="187"/>
      <c r="E22" s="115"/>
      <c r="F22" s="115"/>
      <c r="G22" s="115"/>
    </row>
    <row r="23" spans="2:8" x14ac:dyDescent="0.25">
      <c r="B23" s="182" t="str">
        <f>ORÇAMENTO!C22</f>
        <v>GABRIEL VINICIUS MARTINS</v>
      </c>
      <c r="C23" s="182"/>
      <c r="D23" s="56"/>
      <c r="E23" s="182" t="s">
        <v>127</v>
      </c>
      <c r="F23" s="182"/>
      <c r="G23" s="182"/>
    </row>
    <row r="24" spans="2:8" x14ac:dyDescent="0.25">
      <c r="B24" s="183" t="str">
        <f>ORÇAMENTO!C23</f>
        <v>ENGENHEIRO CIVIL - CREA Nº 230.779/D</v>
      </c>
      <c r="C24" s="183"/>
      <c r="D24" s="1"/>
      <c r="E24" s="183" t="s">
        <v>129</v>
      </c>
      <c r="F24" s="183"/>
      <c r="G24" s="183"/>
    </row>
    <row r="25" spans="2:8" x14ac:dyDescent="0.25">
      <c r="B25" s="45"/>
      <c r="C25" s="45"/>
      <c r="D25" s="45"/>
      <c r="E25" s="45"/>
      <c r="F25" s="45"/>
      <c r="G25" s="45"/>
      <c r="H25" s="45"/>
    </row>
  </sheetData>
  <mergeCells count="29">
    <mergeCell ref="A11:A12"/>
    <mergeCell ref="B11:B12"/>
    <mergeCell ref="C11:C12"/>
    <mergeCell ref="A1:I1"/>
    <mergeCell ref="A9:A10"/>
    <mergeCell ref="B9:B10"/>
    <mergeCell ref="C9:C10"/>
    <mergeCell ref="H9:I9"/>
    <mergeCell ref="H10:I10"/>
    <mergeCell ref="H6:I6"/>
    <mergeCell ref="A7:A8"/>
    <mergeCell ref="B7:B8"/>
    <mergeCell ref="C7:C8"/>
    <mergeCell ref="H7:I7"/>
    <mergeCell ref="H8:I8"/>
    <mergeCell ref="B2:I2"/>
    <mergeCell ref="B3:I3"/>
    <mergeCell ref="B4:I4"/>
    <mergeCell ref="E24:G24"/>
    <mergeCell ref="B5:E5"/>
    <mergeCell ref="H5:I5"/>
    <mergeCell ref="B23:C23"/>
    <mergeCell ref="B24:C24"/>
    <mergeCell ref="B22:C22"/>
    <mergeCell ref="E23:G23"/>
    <mergeCell ref="C13:C14"/>
    <mergeCell ref="H13:I14"/>
    <mergeCell ref="H12:I12"/>
    <mergeCell ref="H11:I11"/>
  </mergeCells>
  <pageMargins left="0.511811024" right="0.511811024" top="0.78740157499999996" bottom="0.78740157499999996" header="0.31496062000000002" footer="0.31496062000000002"/>
  <pageSetup paperSize="9" fitToHeight="0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C3C0-0F04-4955-AA79-ACE2CD093357}">
  <sheetPr codeName="Planilha4"/>
  <dimension ref="A1:Q46"/>
  <sheetViews>
    <sheetView view="pageBreakPreview" topLeftCell="A4" zoomScaleNormal="100" zoomScaleSheetLayoutView="100" workbookViewId="0">
      <selection activeCell="E48" sqref="E48"/>
    </sheetView>
  </sheetViews>
  <sheetFormatPr defaultColWidth="8.85546875" defaultRowHeight="11.25" x14ac:dyDescent="0.25"/>
  <cols>
    <col min="1" max="2" width="8.7109375" style="5" customWidth="1"/>
    <col min="3" max="3" width="52.140625" style="5" customWidth="1"/>
    <col min="4" max="4" width="9.7109375" style="5" customWidth="1"/>
    <col min="5" max="5" width="13.42578125" style="5" customWidth="1"/>
    <col min="6" max="6" width="11.7109375" style="5" bestFit="1" customWidth="1"/>
    <col min="7" max="7" width="8.7109375" style="5" customWidth="1"/>
    <col min="8" max="8" width="9.28515625" style="5" bestFit="1" customWidth="1"/>
    <col min="9" max="9" width="8.7109375" style="5" customWidth="1"/>
    <col min="10" max="11" width="7.140625" style="5" customWidth="1"/>
    <col min="12" max="12" width="11.28515625" style="5" customWidth="1"/>
    <col min="13" max="13" width="12.42578125" style="5" customWidth="1"/>
    <col min="14" max="15" width="9.28515625" style="5" customWidth="1"/>
    <col min="16" max="16" width="8.85546875" style="5"/>
    <col min="17" max="17" width="14.140625" style="5" bestFit="1" customWidth="1"/>
    <col min="18" max="16384" width="8.85546875" style="5"/>
  </cols>
  <sheetData>
    <row r="1" spans="1:17" ht="12" customHeight="1" x14ac:dyDescent="0.2">
      <c r="A1" s="200" t="s">
        <v>93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4"/>
    </row>
    <row r="2" spans="1:17" ht="12" customHeight="1" x14ac:dyDescent="0.2">
      <c r="A2" s="6" t="s">
        <v>1</v>
      </c>
      <c r="B2" s="203" t="s">
        <v>143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5"/>
      <c r="N2" s="4"/>
    </row>
    <row r="3" spans="1:17" ht="12" customHeight="1" x14ac:dyDescent="0.2">
      <c r="A3" s="6" t="s">
        <v>2</v>
      </c>
      <c r="B3" s="203" t="s">
        <v>144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5"/>
      <c r="N3" s="4"/>
    </row>
    <row r="4" spans="1:17" ht="11.1" customHeight="1" x14ac:dyDescent="0.2">
      <c r="A4" s="6" t="s">
        <v>28</v>
      </c>
      <c r="B4" s="203" t="s">
        <v>145</v>
      </c>
      <c r="C4" s="204"/>
      <c r="D4" s="204"/>
      <c r="E4" s="204"/>
      <c r="F4" s="204"/>
      <c r="G4" s="204"/>
      <c r="H4" s="204"/>
      <c r="I4" s="206" t="s">
        <v>29</v>
      </c>
      <c r="J4" s="206"/>
      <c r="K4" s="207" t="s">
        <v>65</v>
      </c>
      <c r="L4" s="207"/>
      <c r="M4" s="7"/>
      <c r="N4" s="4"/>
    </row>
    <row r="5" spans="1:17" ht="15" customHeight="1" x14ac:dyDescent="0.25">
      <c r="A5" s="200" t="s">
        <v>30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2"/>
      <c r="N5" s="8"/>
    </row>
    <row r="6" spans="1:17" ht="6" customHeight="1" x14ac:dyDescent="0.2">
      <c r="A6" s="211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3"/>
      <c r="N6" s="4"/>
    </row>
    <row r="7" spans="1:17" ht="14.1" customHeight="1" x14ac:dyDescent="0.25">
      <c r="A7" s="214" t="s">
        <v>94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6"/>
      <c r="N7" s="8"/>
    </row>
    <row r="8" spans="1:17" ht="19.5" customHeight="1" x14ac:dyDescent="0.25">
      <c r="A8" s="217" t="s">
        <v>66</v>
      </c>
      <c r="B8" s="217" t="s">
        <v>95</v>
      </c>
      <c r="C8" s="217" t="s">
        <v>96</v>
      </c>
      <c r="D8" s="217" t="s">
        <v>97</v>
      </c>
      <c r="E8" s="217" t="s">
        <v>31</v>
      </c>
      <c r="F8" s="219" t="s">
        <v>124</v>
      </c>
      <c r="G8" s="220"/>
      <c r="H8" s="200" t="s">
        <v>98</v>
      </c>
      <c r="I8" s="201"/>
      <c r="J8" s="217" t="s">
        <v>99</v>
      </c>
      <c r="K8" s="217" t="s">
        <v>100</v>
      </c>
      <c r="L8" s="217" t="s">
        <v>32</v>
      </c>
      <c r="M8" s="217" t="s">
        <v>101</v>
      </c>
      <c r="N8" s="8"/>
    </row>
    <row r="9" spans="1:17" x14ac:dyDescent="0.25">
      <c r="A9" s="218"/>
      <c r="B9" s="218"/>
      <c r="C9" s="218"/>
      <c r="D9" s="218"/>
      <c r="E9" s="218"/>
      <c r="F9" s="9" t="s">
        <v>33</v>
      </c>
      <c r="G9" s="10" t="s">
        <v>34</v>
      </c>
      <c r="H9" s="10" t="s">
        <v>33</v>
      </c>
      <c r="I9" s="11" t="s">
        <v>34</v>
      </c>
      <c r="J9" s="218"/>
      <c r="K9" s="218"/>
      <c r="L9" s="218"/>
      <c r="M9" s="218"/>
      <c r="N9" s="8"/>
    </row>
    <row r="10" spans="1:17" ht="9" customHeight="1" x14ac:dyDescent="0.2">
      <c r="A10" s="12" t="s">
        <v>76</v>
      </c>
      <c r="B10" s="12" t="s">
        <v>35</v>
      </c>
      <c r="C10" s="13" t="s">
        <v>102</v>
      </c>
      <c r="D10" s="14">
        <v>1</v>
      </c>
      <c r="E10" s="15" t="s">
        <v>63</v>
      </c>
      <c r="F10" s="14">
        <v>0</v>
      </c>
      <c r="G10" s="14">
        <v>50</v>
      </c>
      <c r="H10" s="16">
        <v>102</v>
      </c>
      <c r="I10" s="17">
        <v>60</v>
      </c>
      <c r="J10" s="14">
        <v>2</v>
      </c>
      <c r="K10" s="18">
        <v>1</v>
      </c>
      <c r="L10" s="19">
        <v>421.02080000000001</v>
      </c>
      <c r="M10" s="20">
        <f>ROUND(((H10*J10*K10)/I10)*L10,2)*D10</f>
        <v>1431.47</v>
      </c>
      <c r="N10" s="4"/>
      <c r="P10" s="2">
        <f t="shared" ref="P10:P21" si="0">M10/L10</f>
        <v>3.3999982898707142</v>
      </c>
      <c r="Q10" s="3">
        <f t="shared" ref="Q10:Q21" si="1">P10*L10</f>
        <v>1431.47</v>
      </c>
    </row>
    <row r="11" spans="1:17" ht="9" hidden="1" customHeight="1" x14ac:dyDescent="0.2">
      <c r="A11" s="12" t="s">
        <v>103</v>
      </c>
      <c r="B11" s="12" t="s">
        <v>36</v>
      </c>
      <c r="C11" s="57" t="s">
        <v>104</v>
      </c>
      <c r="D11" s="14">
        <v>1</v>
      </c>
      <c r="E11" s="15" t="s">
        <v>63</v>
      </c>
      <c r="F11" s="14">
        <v>0</v>
      </c>
      <c r="G11" s="14">
        <v>50</v>
      </c>
      <c r="H11" s="16">
        <v>102</v>
      </c>
      <c r="I11" s="17">
        <v>60</v>
      </c>
      <c r="J11" s="14">
        <v>2</v>
      </c>
      <c r="K11" s="18">
        <v>0.5</v>
      </c>
      <c r="L11" s="19">
        <v>421.02080000000001</v>
      </c>
      <c r="M11" s="20">
        <f t="shared" ref="M11:M21" si="2">ROUND(((H11*J11*K11)/I11)*L11,2)*D11</f>
        <v>715.74</v>
      </c>
      <c r="N11" s="4"/>
      <c r="P11" s="2">
        <f t="shared" si="0"/>
        <v>1.7000110208331749</v>
      </c>
      <c r="Q11" s="3">
        <f t="shared" si="1"/>
        <v>715.74</v>
      </c>
    </row>
    <row r="12" spans="1:17" ht="9" customHeight="1" x14ac:dyDescent="0.2">
      <c r="A12" s="12" t="s">
        <v>105</v>
      </c>
      <c r="B12" s="12" t="s">
        <v>37</v>
      </c>
      <c r="C12" s="13" t="s">
        <v>38</v>
      </c>
      <c r="D12" s="14">
        <v>1</v>
      </c>
      <c r="E12" s="15" t="s">
        <v>63</v>
      </c>
      <c r="F12" s="14">
        <v>0</v>
      </c>
      <c r="G12" s="14">
        <v>50</v>
      </c>
      <c r="H12" s="16">
        <v>102</v>
      </c>
      <c r="I12" s="17">
        <v>60</v>
      </c>
      <c r="J12" s="14">
        <v>2</v>
      </c>
      <c r="K12" s="18">
        <v>1</v>
      </c>
      <c r="L12" s="19">
        <v>421.02080000000001</v>
      </c>
      <c r="M12" s="20">
        <f t="shared" si="2"/>
        <v>1431.47</v>
      </c>
      <c r="N12" s="4"/>
      <c r="P12" s="2">
        <f t="shared" si="0"/>
        <v>3.3999982898707142</v>
      </c>
      <c r="Q12" s="3">
        <f t="shared" si="1"/>
        <v>1431.47</v>
      </c>
    </row>
    <row r="13" spans="1:17" ht="9" hidden="1" customHeight="1" x14ac:dyDescent="0.2">
      <c r="A13" s="12" t="s">
        <v>106</v>
      </c>
      <c r="B13" s="12" t="s">
        <v>39</v>
      </c>
      <c r="C13" s="57" t="s">
        <v>107</v>
      </c>
      <c r="D13" s="14">
        <v>1</v>
      </c>
      <c r="E13" s="15" t="s">
        <v>63</v>
      </c>
      <c r="F13" s="14">
        <v>0</v>
      </c>
      <c r="G13" s="14">
        <v>50</v>
      </c>
      <c r="H13" s="16">
        <v>102</v>
      </c>
      <c r="I13" s="17">
        <v>60</v>
      </c>
      <c r="J13" s="14">
        <v>2</v>
      </c>
      <c r="K13" s="18">
        <v>0</v>
      </c>
      <c r="L13" s="19">
        <v>421.02080000000001</v>
      </c>
      <c r="M13" s="20">
        <f t="shared" si="2"/>
        <v>0</v>
      </c>
      <c r="N13" s="4"/>
      <c r="P13" s="2">
        <f t="shared" si="0"/>
        <v>0</v>
      </c>
      <c r="Q13" s="3">
        <f t="shared" si="1"/>
        <v>0</v>
      </c>
    </row>
    <row r="14" spans="1:17" s="64" customFormat="1" ht="9" customHeight="1" x14ac:dyDescent="0.2">
      <c r="A14" s="12" t="s">
        <v>108</v>
      </c>
      <c r="B14" s="12" t="s">
        <v>40</v>
      </c>
      <c r="C14" s="13" t="s">
        <v>109</v>
      </c>
      <c r="D14" s="18">
        <v>1</v>
      </c>
      <c r="E14" s="15" t="s">
        <v>63</v>
      </c>
      <c r="F14" s="18">
        <v>0</v>
      </c>
      <c r="G14" s="18">
        <v>50</v>
      </c>
      <c r="H14" s="16">
        <v>102</v>
      </c>
      <c r="I14" s="60">
        <v>60</v>
      </c>
      <c r="J14" s="18">
        <v>2</v>
      </c>
      <c r="K14" s="18">
        <v>0.5</v>
      </c>
      <c r="L14" s="61">
        <v>421.02080000000001</v>
      </c>
      <c r="M14" s="62">
        <f t="shared" si="2"/>
        <v>715.74</v>
      </c>
      <c r="N14" s="63"/>
      <c r="P14" s="64">
        <f t="shared" si="0"/>
        <v>1.7000110208331749</v>
      </c>
      <c r="Q14" s="65">
        <f t="shared" si="1"/>
        <v>715.74</v>
      </c>
    </row>
    <row r="15" spans="1:17" s="64" customFormat="1" ht="9" customHeight="1" x14ac:dyDescent="0.2">
      <c r="A15" s="12" t="s">
        <v>110</v>
      </c>
      <c r="B15" s="12" t="s">
        <v>41</v>
      </c>
      <c r="C15" s="13" t="s">
        <v>111</v>
      </c>
      <c r="D15" s="18">
        <v>1</v>
      </c>
      <c r="E15" s="15" t="s">
        <v>63</v>
      </c>
      <c r="F15" s="18">
        <v>0</v>
      </c>
      <c r="G15" s="18">
        <v>50</v>
      </c>
      <c r="H15" s="16">
        <v>102</v>
      </c>
      <c r="I15" s="60">
        <v>60</v>
      </c>
      <c r="J15" s="18">
        <v>2</v>
      </c>
      <c r="K15" s="18">
        <v>0.5</v>
      </c>
      <c r="L15" s="61">
        <v>421.02080000000001</v>
      </c>
      <c r="M15" s="62">
        <f t="shared" si="2"/>
        <v>715.74</v>
      </c>
      <c r="N15" s="63"/>
      <c r="P15" s="64">
        <f t="shared" si="0"/>
        <v>1.7000110208331749</v>
      </c>
      <c r="Q15" s="65">
        <f t="shared" si="1"/>
        <v>715.74</v>
      </c>
    </row>
    <row r="16" spans="1:17" s="64" customFormat="1" ht="9" customHeight="1" x14ac:dyDescent="0.2">
      <c r="A16" s="12" t="s">
        <v>112</v>
      </c>
      <c r="B16" s="12" t="s">
        <v>42</v>
      </c>
      <c r="C16" s="13" t="s">
        <v>43</v>
      </c>
      <c r="D16" s="18">
        <v>1</v>
      </c>
      <c r="E16" s="15" t="s">
        <v>63</v>
      </c>
      <c r="F16" s="18">
        <v>0</v>
      </c>
      <c r="G16" s="18">
        <v>50</v>
      </c>
      <c r="H16" s="16">
        <v>102</v>
      </c>
      <c r="I16" s="60">
        <v>60</v>
      </c>
      <c r="J16" s="18">
        <v>2</v>
      </c>
      <c r="K16" s="18">
        <v>0.5</v>
      </c>
      <c r="L16" s="61">
        <v>421.02080000000001</v>
      </c>
      <c r="M16" s="62">
        <f t="shared" si="2"/>
        <v>715.74</v>
      </c>
      <c r="N16" s="63"/>
      <c r="P16" s="64">
        <f t="shared" si="0"/>
        <v>1.7000110208331749</v>
      </c>
      <c r="Q16" s="65">
        <f t="shared" si="1"/>
        <v>715.74</v>
      </c>
    </row>
    <row r="17" spans="1:17" ht="9" customHeight="1" x14ac:dyDescent="0.2">
      <c r="A17" s="12" t="s">
        <v>113</v>
      </c>
      <c r="B17" s="12" t="s">
        <v>44</v>
      </c>
      <c r="C17" s="13" t="s">
        <v>45</v>
      </c>
      <c r="D17" s="14">
        <v>1</v>
      </c>
      <c r="E17" s="15" t="s">
        <v>63</v>
      </c>
      <c r="F17" s="14">
        <v>0</v>
      </c>
      <c r="G17" s="14">
        <v>50</v>
      </c>
      <c r="H17" s="16">
        <v>102</v>
      </c>
      <c r="I17" s="17">
        <v>60</v>
      </c>
      <c r="J17" s="14">
        <v>2</v>
      </c>
      <c r="K17" s="18">
        <v>1</v>
      </c>
      <c r="L17" s="19">
        <v>421.02080000000001</v>
      </c>
      <c r="M17" s="20">
        <f t="shared" si="2"/>
        <v>1431.47</v>
      </c>
      <c r="N17" s="4"/>
      <c r="P17" s="2">
        <f t="shared" si="0"/>
        <v>3.3999982898707142</v>
      </c>
      <c r="Q17" s="3">
        <f t="shared" si="1"/>
        <v>1431.47</v>
      </c>
    </row>
    <row r="18" spans="1:17" ht="9" hidden="1" customHeight="1" x14ac:dyDescent="0.2">
      <c r="A18" s="12" t="s">
        <v>114</v>
      </c>
      <c r="B18" s="12" t="s">
        <v>46</v>
      </c>
      <c r="C18" s="58" t="s">
        <v>115</v>
      </c>
      <c r="D18" s="14">
        <v>1</v>
      </c>
      <c r="E18" s="15" t="s">
        <v>63</v>
      </c>
      <c r="F18" s="14">
        <v>0</v>
      </c>
      <c r="G18" s="14">
        <v>50</v>
      </c>
      <c r="H18" s="16">
        <v>102</v>
      </c>
      <c r="I18" s="17">
        <v>60</v>
      </c>
      <c r="J18" s="14">
        <v>2</v>
      </c>
      <c r="K18" s="18">
        <v>0</v>
      </c>
      <c r="L18" s="19">
        <v>421.02080000000001</v>
      </c>
      <c r="M18" s="20">
        <f t="shared" si="2"/>
        <v>0</v>
      </c>
      <c r="N18" s="4"/>
      <c r="P18" s="2">
        <f t="shared" si="0"/>
        <v>0</v>
      </c>
      <c r="Q18" s="3">
        <f t="shared" si="1"/>
        <v>0</v>
      </c>
    </row>
    <row r="19" spans="1:17" ht="9.9499999999999993" hidden="1" customHeight="1" x14ac:dyDescent="0.2">
      <c r="A19" s="12" t="s">
        <v>116</v>
      </c>
      <c r="B19" s="21" t="s">
        <v>47</v>
      </c>
      <c r="C19" s="59" t="s">
        <v>48</v>
      </c>
      <c r="D19" s="22">
        <v>1</v>
      </c>
      <c r="E19" s="15" t="s">
        <v>63</v>
      </c>
      <c r="F19" s="14">
        <v>0</v>
      </c>
      <c r="G19" s="14">
        <v>50</v>
      </c>
      <c r="H19" s="16">
        <v>102</v>
      </c>
      <c r="I19" s="17">
        <v>60</v>
      </c>
      <c r="J19" s="14">
        <v>2</v>
      </c>
      <c r="K19" s="18">
        <v>1</v>
      </c>
      <c r="L19" s="19">
        <v>421.02080000000001</v>
      </c>
      <c r="M19" s="20">
        <f t="shared" si="2"/>
        <v>1431.47</v>
      </c>
      <c r="N19" s="4"/>
      <c r="P19" s="2">
        <f t="shared" si="0"/>
        <v>3.3999982898707142</v>
      </c>
      <c r="Q19" s="3">
        <f t="shared" si="1"/>
        <v>1431.47</v>
      </c>
    </row>
    <row r="20" spans="1:17" ht="9.9499999999999993" hidden="1" customHeight="1" x14ac:dyDescent="0.2">
      <c r="A20" s="12" t="s">
        <v>117</v>
      </c>
      <c r="B20" s="23" t="s">
        <v>49</v>
      </c>
      <c r="C20" s="59" t="s">
        <v>50</v>
      </c>
      <c r="D20" s="22">
        <v>1</v>
      </c>
      <c r="E20" s="15" t="s">
        <v>63</v>
      </c>
      <c r="F20" s="14">
        <v>0</v>
      </c>
      <c r="G20" s="14">
        <v>50</v>
      </c>
      <c r="H20" s="16">
        <v>102</v>
      </c>
      <c r="I20" s="17">
        <v>60</v>
      </c>
      <c r="J20" s="14">
        <v>2</v>
      </c>
      <c r="K20" s="18">
        <v>0</v>
      </c>
      <c r="L20" s="19">
        <v>421.02080000000001</v>
      </c>
      <c r="M20" s="20">
        <f t="shared" si="2"/>
        <v>0</v>
      </c>
      <c r="N20" s="4"/>
      <c r="P20" s="2">
        <f t="shared" si="0"/>
        <v>0</v>
      </c>
      <c r="Q20" s="3">
        <f t="shared" si="1"/>
        <v>0</v>
      </c>
    </row>
    <row r="21" spans="1:17" ht="9.9499999999999993" hidden="1" customHeight="1" x14ac:dyDescent="0.2">
      <c r="A21" s="12" t="s">
        <v>118</v>
      </c>
      <c r="B21" s="23" t="s">
        <v>51</v>
      </c>
      <c r="C21" s="59" t="s">
        <v>52</v>
      </c>
      <c r="D21" s="22">
        <v>1</v>
      </c>
      <c r="E21" s="15" t="s">
        <v>63</v>
      </c>
      <c r="F21" s="14">
        <v>0</v>
      </c>
      <c r="G21" s="14">
        <v>50</v>
      </c>
      <c r="H21" s="16">
        <v>102</v>
      </c>
      <c r="I21" s="17">
        <v>60</v>
      </c>
      <c r="J21" s="14">
        <v>2</v>
      </c>
      <c r="K21" s="18">
        <v>0.5</v>
      </c>
      <c r="L21" s="19">
        <v>421.02080000000001</v>
      </c>
      <c r="M21" s="20">
        <f t="shared" si="2"/>
        <v>715.74</v>
      </c>
      <c r="N21" s="4"/>
      <c r="P21" s="2">
        <f t="shared" si="0"/>
        <v>1.7000110208331749</v>
      </c>
      <c r="Q21" s="3">
        <f t="shared" si="1"/>
        <v>715.74</v>
      </c>
    </row>
    <row r="22" spans="1:17" ht="10.5" customHeight="1" x14ac:dyDescent="0.2">
      <c r="A22" s="221" t="s">
        <v>53</v>
      </c>
      <c r="B22" s="206"/>
      <c r="C22" s="222"/>
      <c r="D22" s="206"/>
      <c r="E22" s="206"/>
      <c r="F22" s="206"/>
      <c r="G22" s="206"/>
      <c r="H22" s="206"/>
      <c r="I22" s="206"/>
      <c r="J22" s="206"/>
      <c r="K22" s="206"/>
      <c r="L22" s="223"/>
      <c r="M22" s="24">
        <f>ROUND(SUM(M10:M21),2)</f>
        <v>9304.58</v>
      </c>
      <c r="N22" s="4"/>
      <c r="Q22" s="3">
        <f>SUM(Q10:Q21)</f>
        <v>9304.58</v>
      </c>
    </row>
    <row r="23" spans="1:17" ht="5.25" customHeight="1" x14ac:dyDescent="0.2">
      <c r="A23" s="208"/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10"/>
      <c r="N23" s="4"/>
    </row>
    <row r="24" spans="1:17" ht="10.5" customHeight="1" x14ac:dyDescent="0.2">
      <c r="A24" s="221" t="s">
        <v>54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23"/>
      <c r="M24" s="25">
        <f>M22</f>
        <v>9304.58</v>
      </c>
      <c r="N24" s="4"/>
    </row>
    <row r="25" spans="1:17" ht="6" customHeight="1" x14ac:dyDescent="0.2">
      <c r="A25" s="208"/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10"/>
      <c r="N25" s="4"/>
    </row>
    <row r="26" spans="1:17" x14ac:dyDescent="0.2">
      <c r="A26" s="221" t="s">
        <v>55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23"/>
      <c r="M26" s="224">
        <f>M24+M22</f>
        <v>18609.16</v>
      </c>
      <c r="N26" s="4"/>
    </row>
    <row r="27" spans="1:17" x14ac:dyDescent="0.25">
      <c r="A27" s="200" t="s">
        <v>56</v>
      </c>
      <c r="B27" s="202"/>
      <c r="C27" s="221" t="s">
        <v>57</v>
      </c>
      <c r="D27" s="206"/>
      <c r="E27" s="206"/>
      <c r="F27" s="206"/>
      <c r="G27" s="206"/>
      <c r="H27" s="206"/>
      <c r="I27" s="206"/>
      <c r="J27" s="206"/>
      <c r="K27" s="206"/>
      <c r="L27" s="223"/>
      <c r="M27" s="225"/>
      <c r="N27" s="8"/>
    </row>
    <row r="28" spans="1:17" ht="17.100000000000001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7" ht="14.45" customHeight="1" x14ac:dyDescent="0.25">
      <c r="A29" s="214" t="s">
        <v>119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6"/>
      <c r="N29" s="8"/>
    </row>
    <row r="30" spans="1:17" ht="23.1" customHeight="1" x14ac:dyDescent="0.25">
      <c r="A30" s="217" t="s">
        <v>66</v>
      </c>
      <c r="B30" s="217" t="s">
        <v>95</v>
      </c>
      <c r="C30" s="217" t="s">
        <v>96</v>
      </c>
      <c r="D30" s="217" t="s">
        <v>97</v>
      </c>
      <c r="E30" s="217" t="s">
        <v>31</v>
      </c>
      <c r="F30" s="200" t="s">
        <v>120</v>
      </c>
      <c r="G30" s="202"/>
      <c r="H30" s="200" t="s">
        <v>98</v>
      </c>
      <c r="I30" s="201"/>
      <c r="J30" s="217" t="s">
        <v>99</v>
      </c>
      <c r="K30" s="217" t="s">
        <v>100</v>
      </c>
      <c r="L30" s="217" t="s">
        <v>121</v>
      </c>
      <c r="M30" s="217" t="s">
        <v>101</v>
      </c>
      <c r="N30" s="8"/>
    </row>
    <row r="31" spans="1:17" ht="18" customHeight="1" x14ac:dyDescent="0.25">
      <c r="A31" s="218"/>
      <c r="B31" s="218"/>
      <c r="C31" s="218"/>
      <c r="D31" s="218"/>
      <c r="E31" s="218"/>
      <c r="F31" s="10" t="s">
        <v>33</v>
      </c>
      <c r="G31" s="10" t="s">
        <v>34</v>
      </c>
      <c r="H31" s="10" t="s">
        <v>33</v>
      </c>
      <c r="I31" s="11" t="s">
        <v>34</v>
      </c>
      <c r="J31" s="218"/>
      <c r="K31" s="218"/>
      <c r="L31" s="218"/>
      <c r="M31" s="218"/>
      <c r="N31" s="8"/>
    </row>
    <row r="32" spans="1:17" ht="9" customHeight="1" x14ac:dyDescent="0.2">
      <c r="A32" s="12" t="s">
        <v>76</v>
      </c>
      <c r="B32" s="12" t="s">
        <v>58</v>
      </c>
      <c r="C32" s="13" t="s">
        <v>64</v>
      </c>
      <c r="D32" s="14">
        <v>3</v>
      </c>
      <c r="E32" s="15" t="s">
        <v>63</v>
      </c>
      <c r="F32" s="14">
        <v>0</v>
      </c>
      <c r="G32" s="14">
        <v>50</v>
      </c>
      <c r="H32" s="16">
        <v>102</v>
      </c>
      <c r="I32" s="17">
        <v>60</v>
      </c>
      <c r="J32" s="14">
        <v>1</v>
      </c>
      <c r="K32" s="14">
        <v>1</v>
      </c>
      <c r="L32" s="19">
        <v>320.11290000000002</v>
      </c>
      <c r="M32" s="20">
        <f>ROUND(((H32*J32*K32)/I32)*L32,2)*D32</f>
        <v>1632.5700000000002</v>
      </c>
      <c r="N32" s="4"/>
      <c r="P32" s="2">
        <f>M32/L32</f>
        <v>5.0999819126314501</v>
      </c>
      <c r="Q32" s="3">
        <f>P32*L32</f>
        <v>1632.5700000000002</v>
      </c>
    </row>
    <row r="33" spans="1:17" ht="9" customHeight="1" x14ac:dyDescent="0.2">
      <c r="A33" s="12" t="s">
        <v>17</v>
      </c>
      <c r="B33" s="12" t="s">
        <v>59</v>
      </c>
      <c r="C33" s="13" t="s">
        <v>122</v>
      </c>
      <c r="D33" s="14">
        <v>1</v>
      </c>
      <c r="E33" s="15" t="s">
        <v>63</v>
      </c>
      <c r="F33" s="14">
        <v>0</v>
      </c>
      <c r="G33" s="14">
        <v>50</v>
      </c>
      <c r="H33" s="16">
        <v>102</v>
      </c>
      <c r="I33" s="17">
        <v>60</v>
      </c>
      <c r="J33" s="14">
        <v>1</v>
      </c>
      <c r="K33" s="14">
        <v>1</v>
      </c>
      <c r="L33" s="19">
        <v>355.98989999999998</v>
      </c>
      <c r="M33" s="20">
        <f>ROUND(((H33*J33*K33)/I33)*L33,2)*D33</f>
        <v>605.17999999999995</v>
      </c>
      <c r="N33" s="4"/>
      <c r="P33" s="2">
        <f t="shared" ref="P33:P34" si="3">M33/L33</f>
        <v>1.6999920503362596</v>
      </c>
      <c r="Q33" s="3">
        <f t="shared" ref="Q33:Q34" si="4">P33*L33</f>
        <v>605.17999999999995</v>
      </c>
    </row>
    <row r="34" spans="1:17" ht="9" hidden="1" customHeight="1" x14ac:dyDescent="0.2">
      <c r="A34" s="12" t="s">
        <v>20</v>
      </c>
      <c r="B34" s="12" t="s">
        <v>60</v>
      </c>
      <c r="C34" s="57" t="s">
        <v>123</v>
      </c>
      <c r="D34" s="14">
        <v>1</v>
      </c>
      <c r="E34" s="15" t="s">
        <v>63</v>
      </c>
      <c r="F34" s="14">
        <v>0</v>
      </c>
      <c r="G34" s="14">
        <v>50</v>
      </c>
      <c r="H34" s="16">
        <v>74.7</v>
      </c>
      <c r="I34" s="17">
        <v>60</v>
      </c>
      <c r="J34" s="14">
        <v>1</v>
      </c>
      <c r="K34" s="14">
        <v>1</v>
      </c>
      <c r="L34" s="19">
        <v>332.22969999999998</v>
      </c>
      <c r="M34" s="20">
        <f t="shared" ref="M34" si="5">ROUND(((H34*J34*K34)/I34)*L34,2)*D34</f>
        <v>413.63</v>
      </c>
      <c r="N34" s="4"/>
      <c r="P34" s="2">
        <f t="shared" si="3"/>
        <v>1.2450121105969756</v>
      </c>
      <c r="Q34" s="3">
        <f t="shared" si="4"/>
        <v>413.63</v>
      </c>
    </row>
    <row r="35" spans="1:17" ht="10.5" customHeight="1" x14ac:dyDescent="0.2">
      <c r="A35" s="221" t="s">
        <v>53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23"/>
      <c r="M35" s="24">
        <f>ROUND(SUM(M32:M34),2)</f>
        <v>2651.38</v>
      </c>
      <c r="N35" s="4"/>
      <c r="P35" s="2"/>
      <c r="Q35" s="3">
        <f>SUM(Q32:Q34)</f>
        <v>2651.38</v>
      </c>
    </row>
    <row r="36" spans="1:17" ht="6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8"/>
      <c r="N36" s="4"/>
      <c r="P36" s="2"/>
      <c r="Q36" s="3"/>
    </row>
    <row r="37" spans="1:17" ht="10.5" customHeight="1" x14ac:dyDescent="0.2">
      <c r="A37" s="221" t="s">
        <v>54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23"/>
      <c r="M37" s="24">
        <f>M35</f>
        <v>2651.38</v>
      </c>
      <c r="N37" s="4"/>
    </row>
    <row r="38" spans="1:17" ht="5.25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8"/>
      <c r="N38" s="4"/>
    </row>
    <row r="39" spans="1:17" ht="14.25" customHeight="1" x14ac:dyDescent="0.25">
      <c r="A39" s="221" t="s">
        <v>61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23"/>
      <c r="M39" s="24">
        <f>M37+M35</f>
        <v>5302.76</v>
      </c>
      <c r="N39" s="8"/>
    </row>
    <row r="40" spans="1:17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8"/>
    </row>
    <row r="41" spans="1:17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9"/>
    </row>
    <row r="42" spans="1:17" x14ac:dyDescent="0.25">
      <c r="A42" s="27"/>
      <c r="B42" s="27"/>
      <c r="C42" s="27"/>
      <c r="D42" s="27"/>
      <c r="E42" s="27"/>
      <c r="F42" s="30"/>
      <c r="G42" s="30"/>
      <c r="H42" s="30"/>
      <c r="I42" s="30"/>
      <c r="J42" s="30"/>
      <c r="K42" s="30"/>
      <c r="L42" s="27"/>
      <c r="M42" s="31"/>
      <c r="N42" s="27"/>
    </row>
    <row r="43" spans="1:17" x14ac:dyDescent="0.25">
      <c r="A43" s="32"/>
      <c r="B43" s="32"/>
      <c r="C43" s="32"/>
      <c r="D43" s="32"/>
      <c r="E43" s="32"/>
      <c r="F43" s="33"/>
      <c r="G43" s="33"/>
      <c r="H43" s="33"/>
      <c r="I43" s="33"/>
      <c r="J43" s="33"/>
      <c r="K43" s="33"/>
      <c r="L43" s="32"/>
      <c r="M43" s="32"/>
    </row>
    <row r="44" spans="1:17" x14ac:dyDescent="0.25">
      <c r="A44" s="32"/>
      <c r="B44" s="32"/>
      <c r="C44" s="32"/>
      <c r="D44" s="32"/>
      <c r="E44" s="32"/>
      <c r="F44" s="33"/>
      <c r="G44" s="33"/>
      <c r="H44" s="34" t="s">
        <v>62</v>
      </c>
      <c r="I44" s="33"/>
      <c r="J44" s="33"/>
      <c r="K44" s="33"/>
      <c r="L44" s="32"/>
      <c r="Q44" s="35">
        <f>M26+M39</f>
        <v>23911.919999999998</v>
      </c>
    </row>
    <row r="45" spans="1:17" x14ac:dyDescent="0.25">
      <c r="F45" s="2"/>
      <c r="G45" s="2"/>
      <c r="H45" s="36" t="str">
        <f>ORÇAMENTO!C22</f>
        <v>GABRIEL VINICIUS MARTINS</v>
      </c>
      <c r="I45" s="2"/>
      <c r="J45" s="2"/>
      <c r="K45" s="2"/>
    </row>
    <row r="46" spans="1:17" x14ac:dyDescent="0.25">
      <c r="F46" s="2"/>
      <c r="G46" s="2"/>
      <c r="H46" s="34" t="str">
        <f>ORÇAMENTO!C23</f>
        <v>ENGENHEIRO CIVIL - CREA Nº 230.779/D</v>
      </c>
      <c r="I46" s="2"/>
      <c r="J46" s="2"/>
      <c r="K46" s="2"/>
    </row>
  </sheetData>
  <mergeCells count="43">
    <mergeCell ref="A35:L35"/>
    <mergeCell ref="A37:L37"/>
    <mergeCell ref="A39:L39"/>
    <mergeCell ref="A29:M29"/>
    <mergeCell ref="A30:A31"/>
    <mergeCell ref="B30:B31"/>
    <mergeCell ref="C30:C31"/>
    <mergeCell ref="D30:D31"/>
    <mergeCell ref="E30:E31"/>
    <mergeCell ref="F30:G30"/>
    <mergeCell ref="H30:I30"/>
    <mergeCell ref="J30:J31"/>
    <mergeCell ref="K30:K31"/>
    <mergeCell ref="L30:L31"/>
    <mergeCell ref="M30:M31"/>
    <mergeCell ref="A24:L24"/>
    <mergeCell ref="A25:M25"/>
    <mergeCell ref="A26:L26"/>
    <mergeCell ref="M26:M27"/>
    <mergeCell ref="A27:B27"/>
    <mergeCell ref="C27:L27"/>
    <mergeCell ref="A23:M23"/>
    <mergeCell ref="A5:M5"/>
    <mergeCell ref="A6:M6"/>
    <mergeCell ref="A7:M7"/>
    <mergeCell ref="A8:A9"/>
    <mergeCell ref="B8:B9"/>
    <mergeCell ref="C8:C9"/>
    <mergeCell ref="D8:D9"/>
    <mergeCell ref="E8:E9"/>
    <mergeCell ref="F8:G8"/>
    <mergeCell ref="H8:I8"/>
    <mergeCell ref="J8:J9"/>
    <mergeCell ref="K8:K9"/>
    <mergeCell ref="L8:L9"/>
    <mergeCell ref="M8:M9"/>
    <mergeCell ref="A22:L22"/>
    <mergeCell ref="A1:M1"/>
    <mergeCell ref="B2:M2"/>
    <mergeCell ref="B3:M3"/>
    <mergeCell ref="B4:H4"/>
    <mergeCell ref="I4:J4"/>
    <mergeCell ref="K4:L4"/>
  </mergeCells>
  <pageMargins left="0.511811024" right="0.511811024" top="0.78740157499999996" bottom="0.78740157499999996" header="0.31496062000000002" footer="0.31496062000000002"/>
  <pageSetup scale="56" orientation="portrait" horizontalDpi="1200" verticalDpi="1200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MEMÓRIA CAL.</vt:lpstr>
      <vt:lpstr>ORÇAMENTO</vt:lpstr>
      <vt:lpstr>BDI</vt:lpstr>
      <vt:lpstr>CRONOGRAMA</vt:lpstr>
      <vt:lpstr>MOB-DESMOB</vt:lpstr>
      <vt:lpstr>CRONOGRAMA!Area_de_impressao</vt:lpstr>
      <vt:lpstr>'MEMÓRIA CAL.'!Area_de_impressao</vt:lpstr>
      <vt:lpstr>'MOB-DESMOB'!Area_de_impressao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Lwan</dc:creator>
  <cp:lastModifiedBy>Gabriel Martins</cp:lastModifiedBy>
  <cp:lastPrinted>2026-07-03T17:38:14Z</cp:lastPrinted>
  <dcterms:created xsi:type="dcterms:W3CDTF">2025-06-16T21:07:33Z</dcterms:created>
  <dcterms:modified xsi:type="dcterms:W3CDTF">2026-07-03T17:38:17Z</dcterms:modified>
</cp:coreProperties>
</file>